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hidePivotFieldList="1"/>
  <mc:AlternateContent xmlns:mc="http://schemas.openxmlformats.org/markup-compatibility/2006">
    <mc:Choice Requires="x15">
      <x15ac:absPath xmlns:x15ac="http://schemas.microsoft.com/office/spreadsheetml/2010/11/ac" url="\\jclm.es\MAMB\SC\DSOSTENIBLE\06 INFORMACIÓN_ AMBIENTAL\2_INFORMACIÓN AMBIENTAL\04_TRANSPARENCIA\ENVIOS A Transparencia_TABLAS\2025_TRANSPARENCIA\"/>
    </mc:Choice>
  </mc:AlternateContent>
  <xr:revisionPtr revIDLastSave="0" documentId="13_ncr:1_{1C9A15ED-0CC6-49FA-996E-96F4E2A37CE4}" xr6:coauthVersionLast="36" xr6:coauthVersionMax="36" xr10:uidLastSave="{00000000-0000-0000-0000-000000000000}"/>
  <bookViews>
    <workbookView xWindow="-105" yWindow="-105" windowWidth="23250" windowHeight="12570" tabRatio="794" firstSheet="1" activeTab="2" xr2:uid="{00000000-000D-0000-FFFF-FFFF00000000}"/>
  </bookViews>
  <sheets>
    <sheet name="Follow up countries" sheetId="31" state="hidden" r:id="rId1"/>
    <sheet name="LICENCIAS Y PRODUCTOS 2025-03" sheetId="36" r:id="rId2"/>
    <sheet name="Listado de productos_2025" sheetId="61" r:id="rId3"/>
    <sheet name="A_BackendPGCompil_March2025" sheetId="4" state="hidden" r:id="rId4"/>
    <sheet name="A_BackendPGCompil_September2024" sheetId="55" state="hidden" r:id="rId5"/>
    <sheet name="Outside of EU" sheetId="53" state="hidden" r:id="rId6"/>
    <sheet name="Graphs per CBs" sheetId="60" state="hidden" r:id="rId7"/>
    <sheet name="ECAT Statistics Mar24" sheetId="52" state="hidden" r:id="rId8"/>
    <sheet name="A_ECAT Comparison" sheetId="48" state="hidden" r:id="rId9"/>
    <sheet name="LicencesSep24" sheetId="57" state="hidden" r:id="rId10"/>
    <sheet name="ProductsMar24" sheetId="58" state="hidden" r:id="rId11"/>
  </sheets>
  <externalReferences>
    <externalReference r:id="rId12"/>
    <externalReference r:id="rId13"/>
  </externalReferences>
  <definedNames>
    <definedName name="_xlnm._FilterDatabase" localSheetId="3" hidden="1">A_BackendPGCompil_March2025!$AJ$34:$AJ$61</definedName>
    <definedName name="_xlnm._FilterDatabase" localSheetId="4" hidden="1">A_BackendPGCompil_September2024!$AJ$34:$AJ$61</definedName>
    <definedName name="_xlnm._FilterDatabase" localSheetId="5" hidden="1">'Outside of EU'!$AJ$34:$AJ$61</definedName>
    <definedName name="LicenceHolders">'[1]LH dropdown list'!$A$1:$A$36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7" i="55" l="1"/>
  <c r="AJ8" i="55"/>
  <c r="AH60" i="55"/>
  <c r="AG60" i="55"/>
  <c r="AF60" i="55"/>
  <c r="AE60" i="55"/>
  <c r="AD60" i="55"/>
  <c r="AC60" i="55"/>
  <c r="AB60" i="55"/>
  <c r="AA60" i="55"/>
  <c r="Z60" i="55"/>
  <c r="Y60" i="55"/>
  <c r="X60" i="55"/>
  <c r="W60" i="55"/>
  <c r="V60" i="55"/>
  <c r="U60" i="55"/>
  <c r="T60" i="55"/>
  <c r="S60" i="55"/>
  <c r="R60" i="55"/>
  <c r="Q60" i="55"/>
  <c r="P60" i="55"/>
  <c r="O60" i="55"/>
  <c r="N60" i="55"/>
  <c r="M60" i="55"/>
  <c r="L60" i="55"/>
  <c r="K60" i="55"/>
  <c r="J60" i="55"/>
  <c r="I60" i="55"/>
  <c r="H60" i="55"/>
  <c r="G60" i="55"/>
  <c r="F60" i="55"/>
  <c r="E60" i="55"/>
  <c r="AJ60" i="55" s="1"/>
  <c r="AH59" i="55"/>
  <c r="AG59" i="55"/>
  <c r="AF59" i="55"/>
  <c r="AE59" i="55"/>
  <c r="AD59" i="55"/>
  <c r="AC59" i="55"/>
  <c r="AB59" i="55"/>
  <c r="AA59" i="55"/>
  <c r="Z59" i="55"/>
  <c r="Y59" i="55"/>
  <c r="X59" i="55"/>
  <c r="W59" i="55"/>
  <c r="V59" i="55"/>
  <c r="U59" i="55"/>
  <c r="T59" i="55"/>
  <c r="S59" i="55"/>
  <c r="R59" i="55"/>
  <c r="Q59" i="55"/>
  <c r="P59" i="55"/>
  <c r="O59" i="55"/>
  <c r="N59" i="55"/>
  <c r="M59" i="55"/>
  <c r="L59" i="55"/>
  <c r="K59" i="55"/>
  <c r="J59" i="55"/>
  <c r="I59" i="55"/>
  <c r="H59" i="55"/>
  <c r="G59" i="55"/>
  <c r="F59" i="55"/>
  <c r="E59" i="55"/>
  <c r="AH58" i="55"/>
  <c r="AG58" i="55"/>
  <c r="AF58" i="55"/>
  <c r="AE58" i="55"/>
  <c r="AD58" i="55"/>
  <c r="AC58" i="55"/>
  <c r="AB58" i="55"/>
  <c r="AA58" i="55"/>
  <c r="Z58" i="55"/>
  <c r="Y58" i="55"/>
  <c r="X58" i="55"/>
  <c r="W58" i="55"/>
  <c r="V58" i="55"/>
  <c r="U58" i="55"/>
  <c r="T58" i="55"/>
  <c r="S58" i="55"/>
  <c r="R58" i="55"/>
  <c r="Q58" i="55"/>
  <c r="P58" i="55"/>
  <c r="O58" i="55"/>
  <c r="N58" i="55"/>
  <c r="M58" i="55"/>
  <c r="L58" i="55"/>
  <c r="K58" i="55"/>
  <c r="J58" i="55"/>
  <c r="I58" i="55"/>
  <c r="H58" i="55"/>
  <c r="G58" i="55"/>
  <c r="F58" i="55"/>
  <c r="E58" i="55"/>
  <c r="AH57" i="55"/>
  <c r="AG57" i="55"/>
  <c r="AF57" i="55"/>
  <c r="AE57" i="55"/>
  <c r="AD57" i="55"/>
  <c r="AC57" i="55"/>
  <c r="AB57" i="55"/>
  <c r="AA57" i="55"/>
  <c r="Z57" i="55"/>
  <c r="Y57" i="55"/>
  <c r="X57" i="55"/>
  <c r="W57" i="55"/>
  <c r="V57" i="55"/>
  <c r="U57" i="55"/>
  <c r="T57" i="55"/>
  <c r="S57" i="55"/>
  <c r="R57" i="55"/>
  <c r="Q57" i="55"/>
  <c r="P57" i="55"/>
  <c r="O57" i="55"/>
  <c r="N57" i="55"/>
  <c r="M57" i="55"/>
  <c r="L57" i="55"/>
  <c r="K57" i="55"/>
  <c r="J57" i="55"/>
  <c r="I57" i="55"/>
  <c r="H57" i="55"/>
  <c r="G57" i="55"/>
  <c r="F57" i="55"/>
  <c r="E57" i="55"/>
  <c r="AH56" i="55"/>
  <c r="AG56" i="55"/>
  <c r="AF56" i="55"/>
  <c r="AE56" i="55"/>
  <c r="AD56" i="55"/>
  <c r="AC56" i="55"/>
  <c r="AB56" i="55"/>
  <c r="AA56" i="55"/>
  <c r="Z56" i="55"/>
  <c r="Y56" i="55"/>
  <c r="X56" i="55"/>
  <c r="W56" i="55"/>
  <c r="V56" i="55"/>
  <c r="U56" i="55"/>
  <c r="T56" i="55"/>
  <c r="S56" i="55"/>
  <c r="R56" i="55"/>
  <c r="Q56" i="55"/>
  <c r="P56" i="55"/>
  <c r="O56" i="55"/>
  <c r="N56" i="55"/>
  <c r="M56" i="55"/>
  <c r="L56" i="55"/>
  <c r="K56" i="55"/>
  <c r="J56" i="55"/>
  <c r="I56" i="55"/>
  <c r="H56" i="55"/>
  <c r="G56" i="55"/>
  <c r="F56" i="55"/>
  <c r="E56" i="55"/>
  <c r="AJ56" i="55" s="1"/>
  <c r="AH55" i="55"/>
  <c r="AG55" i="55"/>
  <c r="AF55" i="55"/>
  <c r="AE55" i="55"/>
  <c r="AD55" i="55"/>
  <c r="AC55" i="55"/>
  <c r="AB55" i="55"/>
  <c r="AA55" i="55"/>
  <c r="Z55" i="55"/>
  <c r="Y55" i="55"/>
  <c r="X55" i="55"/>
  <c r="W55" i="55"/>
  <c r="V55" i="55"/>
  <c r="U55" i="55"/>
  <c r="T55" i="55"/>
  <c r="S55" i="55"/>
  <c r="R55" i="55"/>
  <c r="Q55" i="55"/>
  <c r="P55" i="55"/>
  <c r="O55" i="55"/>
  <c r="N55" i="55"/>
  <c r="M55" i="55"/>
  <c r="L55" i="55"/>
  <c r="K55" i="55"/>
  <c r="J55" i="55"/>
  <c r="I55" i="55"/>
  <c r="H55" i="55"/>
  <c r="G55" i="55"/>
  <c r="AJ55" i="55" s="1"/>
  <c r="F55" i="55"/>
  <c r="E55" i="55"/>
  <c r="AH54" i="55"/>
  <c r="AG54" i="55"/>
  <c r="AF54" i="55"/>
  <c r="AE54" i="55"/>
  <c r="AD54" i="55"/>
  <c r="AC54" i="55"/>
  <c r="AB54" i="55"/>
  <c r="AA54" i="55"/>
  <c r="Z54" i="55"/>
  <c r="Y54" i="55"/>
  <c r="X54" i="55"/>
  <c r="W54" i="55"/>
  <c r="V54" i="55"/>
  <c r="U54" i="55"/>
  <c r="T54" i="55"/>
  <c r="S54" i="55"/>
  <c r="R54" i="55"/>
  <c r="Q54" i="55"/>
  <c r="P54" i="55"/>
  <c r="O54" i="55"/>
  <c r="N54" i="55"/>
  <c r="M54" i="55"/>
  <c r="L54" i="55"/>
  <c r="K54" i="55"/>
  <c r="J54" i="55"/>
  <c r="I54" i="55"/>
  <c r="H54" i="55"/>
  <c r="G54" i="55"/>
  <c r="F54" i="55"/>
  <c r="E54" i="55"/>
  <c r="AH53" i="55"/>
  <c r="AG53" i="55"/>
  <c r="AF53" i="55"/>
  <c r="AE53" i="55"/>
  <c r="AD53" i="55"/>
  <c r="AC53" i="55"/>
  <c r="AB53" i="55"/>
  <c r="AA53" i="55"/>
  <c r="Z53" i="55"/>
  <c r="Y53" i="55"/>
  <c r="X53" i="55"/>
  <c r="W53" i="55"/>
  <c r="V53" i="55"/>
  <c r="U53" i="55"/>
  <c r="T53" i="55"/>
  <c r="S53" i="55"/>
  <c r="R53" i="55"/>
  <c r="Q53" i="55"/>
  <c r="P53" i="55"/>
  <c r="O53" i="55"/>
  <c r="N53" i="55"/>
  <c r="M53" i="55"/>
  <c r="L53" i="55"/>
  <c r="K53" i="55"/>
  <c r="J53" i="55"/>
  <c r="I53" i="55"/>
  <c r="H53" i="55"/>
  <c r="G53" i="55"/>
  <c r="F53" i="55"/>
  <c r="E53" i="55"/>
  <c r="AH52" i="55"/>
  <c r="AG52" i="55"/>
  <c r="AF52" i="55"/>
  <c r="AE52" i="55"/>
  <c r="AD52" i="55"/>
  <c r="AC52" i="55"/>
  <c r="AB52" i="55"/>
  <c r="AA52" i="55"/>
  <c r="Z52" i="55"/>
  <c r="Y52" i="55"/>
  <c r="X52" i="55"/>
  <c r="W52" i="55"/>
  <c r="V52" i="55"/>
  <c r="U52" i="55"/>
  <c r="T52" i="55"/>
  <c r="S52" i="55"/>
  <c r="R52" i="55"/>
  <c r="Q52" i="55"/>
  <c r="P52" i="55"/>
  <c r="O52" i="55"/>
  <c r="N52" i="55"/>
  <c r="M52" i="55"/>
  <c r="L52" i="55"/>
  <c r="K52" i="55"/>
  <c r="J52" i="55"/>
  <c r="I52" i="55"/>
  <c r="H52" i="55"/>
  <c r="G52" i="55"/>
  <c r="F52" i="55"/>
  <c r="E52" i="55"/>
  <c r="AJ52" i="55" s="1"/>
  <c r="AH51" i="55"/>
  <c r="AG51" i="55"/>
  <c r="AF51" i="55"/>
  <c r="AE51" i="55"/>
  <c r="AD51" i="55"/>
  <c r="AC51" i="55"/>
  <c r="AB51" i="55"/>
  <c r="AA51" i="55"/>
  <c r="Z51" i="55"/>
  <c r="Y51" i="55"/>
  <c r="X51" i="55"/>
  <c r="W51" i="55"/>
  <c r="V51" i="55"/>
  <c r="U51" i="55"/>
  <c r="T51" i="55"/>
  <c r="S51" i="55"/>
  <c r="R51" i="55"/>
  <c r="Q51" i="55"/>
  <c r="P51" i="55"/>
  <c r="O51" i="55"/>
  <c r="N51" i="55"/>
  <c r="M51" i="55"/>
  <c r="L51" i="55"/>
  <c r="K51" i="55"/>
  <c r="J51" i="55"/>
  <c r="I51" i="55"/>
  <c r="H51" i="55"/>
  <c r="G51" i="55"/>
  <c r="F51" i="55"/>
  <c r="E51" i="55"/>
  <c r="AH50" i="55"/>
  <c r="AG50" i="55"/>
  <c r="AF50" i="55"/>
  <c r="AE50" i="55"/>
  <c r="AD50" i="55"/>
  <c r="AC50" i="55"/>
  <c r="AB50" i="55"/>
  <c r="AA50" i="55"/>
  <c r="Z50" i="55"/>
  <c r="Y50" i="55"/>
  <c r="X50" i="55"/>
  <c r="W50" i="55"/>
  <c r="V50" i="55"/>
  <c r="U50" i="55"/>
  <c r="T50" i="55"/>
  <c r="S50" i="55"/>
  <c r="R50" i="55"/>
  <c r="Q50" i="55"/>
  <c r="P50" i="55"/>
  <c r="O50" i="55"/>
  <c r="N50" i="55"/>
  <c r="M50" i="55"/>
  <c r="L50" i="55"/>
  <c r="K50" i="55"/>
  <c r="J50" i="55"/>
  <c r="I50" i="55"/>
  <c r="H50" i="55"/>
  <c r="G50" i="55"/>
  <c r="F50" i="55"/>
  <c r="E50" i="55"/>
  <c r="AH49" i="55"/>
  <c r="AG49" i="55"/>
  <c r="AF49" i="55"/>
  <c r="AE49" i="55"/>
  <c r="AD49" i="55"/>
  <c r="AC49" i="55"/>
  <c r="AB49" i="55"/>
  <c r="AA49" i="55"/>
  <c r="Z49" i="55"/>
  <c r="Y49" i="55"/>
  <c r="X49" i="55"/>
  <c r="W49" i="55"/>
  <c r="V49" i="55"/>
  <c r="U49" i="55"/>
  <c r="T49" i="55"/>
  <c r="S49" i="55"/>
  <c r="R49" i="55"/>
  <c r="Q49" i="55"/>
  <c r="P49" i="55"/>
  <c r="O49" i="55"/>
  <c r="N49" i="55"/>
  <c r="M49" i="55"/>
  <c r="L49" i="55"/>
  <c r="K49" i="55"/>
  <c r="J49" i="55"/>
  <c r="I49" i="55"/>
  <c r="H49" i="55"/>
  <c r="G49" i="55"/>
  <c r="F49" i="55"/>
  <c r="E49" i="55"/>
  <c r="AH48" i="55"/>
  <c r="AG48" i="55"/>
  <c r="AF48" i="55"/>
  <c r="AE48" i="55"/>
  <c r="AD48" i="55"/>
  <c r="AC48" i="55"/>
  <c r="AB48" i="55"/>
  <c r="AA48" i="55"/>
  <c r="Z48" i="55"/>
  <c r="Y48" i="55"/>
  <c r="X48" i="55"/>
  <c r="W48" i="55"/>
  <c r="V48" i="55"/>
  <c r="U48" i="55"/>
  <c r="T48" i="55"/>
  <c r="S48" i="55"/>
  <c r="R48" i="55"/>
  <c r="Q48" i="55"/>
  <c r="P48" i="55"/>
  <c r="O48" i="55"/>
  <c r="N48" i="55"/>
  <c r="M48" i="55"/>
  <c r="L48" i="55"/>
  <c r="K48" i="55"/>
  <c r="J48" i="55"/>
  <c r="I48" i="55"/>
  <c r="H48" i="55"/>
  <c r="G48" i="55"/>
  <c r="F48" i="55"/>
  <c r="E48" i="55"/>
  <c r="AJ48" i="55" s="1"/>
  <c r="AH47" i="55"/>
  <c r="AG47" i="55"/>
  <c r="AF47" i="55"/>
  <c r="AE47" i="55"/>
  <c r="AD47" i="55"/>
  <c r="AC47" i="55"/>
  <c r="AB47" i="55"/>
  <c r="AA47" i="55"/>
  <c r="Z47" i="55"/>
  <c r="Y47" i="55"/>
  <c r="X47" i="55"/>
  <c r="W47" i="55"/>
  <c r="V47" i="55"/>
  <c r="U47" i="55"/>
  <c r="T47" i="55"/>
  <c r="S47" i="55"/>
  <c r="R47" i="55"/>
  <c r="Q47" i="55"/>
  <c r="P47" i="55"/>
  <c r="O47" i="55"/>
  <c r="N47" i="55"/>
  <c r="M47" i="55"/>
  <c r="L47" i="55"/>
  <c r="K47" i="55"/>
  <c r="J47" i="55"/>
  <c r="I47" i="55"/>
  <c r="H47" i="55"/>
  <c r="G47" i="55"/>
  <c r="AJ47" i="55" s="1"/>
  <c r="F47" i="55"/>
  <c r="E47" i="55"/>
  <c r="AH46" i="55"/>
  <c r="AG46" i="55"/>
  <c r="AF46" i="55"/>
  <c r="AE46" i="55"/>
  <c r="AD46" i="55"/>
  <c r="AC46" i="55"/>
  <c r="AB46" i="55"/>
  <c r="AA46" i="55"/>
  <c r="Z46" i="55"/>
  <c r="Y46" i="55"/>
  <c r="X46" i="55"/>
  <c r="W46" i="55"/>
  <c r="V46" i="55"/>
  <c r="U46" i="55"/>
  <c r="T46" i="55"/>
  <c r="S46" i="55"/>
  <c r="R46" i="55"/>
  <c r="Q46" i="55"/>
  <c r="P46" i="55"/>
  <c r="O46" i="55"/>
  <c r="N46" i="55"/>
  <c r="M46" i="55"/>
  <c r="L46" i="55"/>
  <c r="K46" i="55"/>
  <c r="J46" i="55"/>
  <c r="I46" i="55"/>
  <c r="H46" i="55"/>
  <c r="G46" i="55"/>
  <c r="F46" i="55"/>
  <c r="E46" i="55"/>
  <c r="AH45" i="55"/>
  <c r="AG45" i="55"/>
  <c r="AF45" i="55"/>
  <c r="AE45" i="55"/>
  <c r="AD45" i="55"/>
  <c r="AC45" i="55"/>
  <c r="AB45" i="55"/>
  <c r="AA45" i="55"/>
  <c r="Z45" i="55"/>
  <c r="Y45" i="55"/>
  <c r="X45" i="55"/>
  <c r="W45" i="55"/>
  <c r="V45" i="55"/>
  <c r="U45" i="55"/>
  <c r="T45" i="55"/>
  <c r="S45" i="55"/>
  <c r="R45" i="55"/>
  <c r="Q45" i="55"/>
  <c r="P45" i="55"/>
  <c r="O45" i="55"/>
  <c r="N45" i="55"/>
  <c r="M45" i="55"/>
  <c r="L45" i="55"/>
  <c r="K45" i="55"/>
  <c r="J45" i="55"/>
  <c r="I45" i="55"/>
  <c r="H45" i="55"/>
  <c r="G45" i="55"/>
  <c r="AJ45" i="55" s="1"/>
  <c r="F45" i="55"/>
  <c r="E45" i="55"/>
  <c r="AH44" i="55"/>
  <c r="AG44" i="55"/>
  <c r="AF44" i="55"/>
  <c r="AE44" i="55"/>
  <c r="AD44" i="55"/>
  <c r="AC44" i="55"/>
  <c r="AB44" i="55"/>
  <c r="AA44" i="55"/>
  <c r="Z44" i="55"/>
  <c r="Y44" i="55"/>
  <c r="X44" i="55"/>
  <c r="W44" i="55"/>
  <c r="V44" i="55"/>
  <c r="U44" i="55"/>
  <c r="T44" i="55"/>
  <c r="S44" i="55"/>
  <c r="R44" i="55"/>
  <c r="Q44" i="55"/>
  <c r="P44" i="55"/>
  <c r="O44" i="55"/>
  <c r="N44" i="55"/>
  <c r="M44" i="55"/>
  <c r="L44" i="55"/>
  <c r="K44" i="55"/>
  <c r="J44" i="55"/>
  <c r="I44" i="55"/>
  <c r="H44" i="55"/>
  <c r="G44" i="55"/>
  <c r="F44" i="55"/>
  <c r="E44" i="55"/>
  <c r="AJ44" i="55" s="1"/>
  <c r="AH43" i="55"/>
  <c r="AG43" i="55"/>
  <c r="AF43" i="55"/>
  <c r="AE43" i="55"/>
  <c r="AD43" i="55"/>
  <c r="AC43" i="55"/>
  <c r="AB43" i="55"/>
  <c r="AA43" i="55"/>
  <c r="Z43" i="55"/>
  <c r="Y43" i="55"/>
  <c r="X43" i="55"/>
  <c r="W43" i="55"/>
  <c r="V43" i="55"/>
  <c r="U43" i="55"/>
  <c r="T43" i="55"/>
  <c r="S43" i="55"/>
  <c r="R43" i="55"/>
  <c r="Q43" i="55"/>
  <c r="P43" i="55"/>
  <c r="O43" i="55"/>
  <c r="N43" i="55"/>
  <c r="M43" i="55"/>
  <c r="L43" i="55"/>
  <c r="K43" i="55"/>
  <c r="J43" i="55"/>
  <c r="I43" i="55"/>
  <c r="H43" i="55"/>
  <c r="G43" i="55"/>
  <c r="F43" i="55"/>
  <c r="E43" i="55"/>
  <c r="AH42" i="55"/>
  <c r="AG42" i="55"/>
  <c r="AF42" i="55"/>
  <c r="AE42" i="55"/>
  <c r="AD42" i="55"/>
  <c r="AC42" i="55"/>
  <c r="AB42" i="55"/>
  <c r="AA42" i="55"/>
  <c r="Z42" i="55"/>
  <c r="Y42" i="55"/>
  <c r="X42" i="55"/>
  <c r="W42" i="55"/>
  <c r="V42" i="55"/>
  <c r="U42" i="55"/>
  <c r="T42" i="55"/>
  <c r="S42" i="55"/>
  <c r="R42" i="55"/>
  <c r="Q42" i="55"/>
  <c r="P42" i="55"/>
  <c r="O42" i="55"/>
  <c r="N42" i="55"/>
  <c r="M42" i="55"/>
  <c r="L42" i="55"/>
  <c r="K42" i="55"/>
  <c r="J42" i="55"/>
  <c r="I42" i="55"/>
  <c r="H42" i="55"/>
  <c r="G42" i="55"/>
  <c r="F42" i="55"/>
  <c r="E42" i="55"/>
  <c r="AH41" i="55"/>
  <c r="AG41" i="55"/>
  <c r="AF41" i="55"/>
  <c r="AE41" i="55"/>
  <c r="AD41" i="55"/>
  <c r="AC41" i="55"/>
  <c r="AB41" i="55"/>
  <c r="AA41" i="55"/>
  <c r="Z41" i="55"/>
  <c r="Y41" i="55"/>
  <c r="X41" i="55"/>
  <c r="W41" i="55"/>
  <c r="V41" i="55"/>
  <c r="U41" i="55"/>
  <c r="T41" i="55"/>
  <c r="S41" i="55"/>
  <c r="R41" i="55"/>
  <c r="Q41" i="55"/>
  <c r="P41" i="55"/>
  <c r="O41" i="55"/>
  <c r="N41" i="55"/>
  <c r="M41" i="55"/>
  <c r="L41" i="55"/>
  <c r="K41" i="55"/>
  <c r="J41" i="55"/>
  <c r="I41" i="55"/>
  <c r="H41" i="55"/>
  <c r="G41" i="55"/>
  <c r="F41" i="55"/>
  <c r="E41" i="55"/>
  <c r="AH40" i="55"/>
  <c r="AG40" i="55"/>
  <c r="AF40" i="55"/>
  <c r="AE40" i="55"/>
  <c r="AD40" i="55"/>
  <c r="AC40" i="55"/>
  <c r="AB40" i="55"/>
  <c r="AA40" i="55"/>
  <c r="Z40" i="55"/>
  <c r="Y40" i="55"/>
  <c r="X40" i="55"/>
  <c r="W40" i="55"/>
  <c r="V40" i="55"/>
  <c r="U40" i="55"/>
  <c r="T40" i="55"/>
  <c r="S40" i="55"/>
  <c r="R40" i="55"/>
  <c r="Q40" i="55"/>
  <c r="P40" i="55"/>
  <c r="O40" i="55"/>
  <c r="N40" i="55"/>
  <c r="M40" i="55"/>
  <c r="L40" i="55"/>
  <c r="K40" i="55"/>
  <c r="J40" i="55"/>
  <c r="I40" i="55"/>
  <c r="H40" i="55"/>
  <c r="G40" i="55"/>
  <c r="F40" i="55"/>
  <c r="E40" i="55"/>
  <c r="AJ40" i="55" s="1"/>
  <c r="AH39" i="55"/>
  <c r="AG39" i="55"/>
  <c r="AF39" i="55"/>
  <c r="AE39" i="55"/>
  <c r="AD39" i="55"/>
  <c r="AC39" i="55"/>
  <c r="AB39" i="55"/>
  <c r="AA39" i="55"/>
  <c r="Z39" i="55"/>
  <c r="Y39" i="55"/>
  <c r="X39" i="55"/>
  <c r="W39" i="55"/>
  <c r="V39" i="55"/>
  <c r="U39" i="55"/>
  <c r="T39" i="55"/>
  <c r="S39" i="55"/>
  <c r="R39" i="55"/>
  <c r="Q39" i="55"/>
  <c r="P39" i="55"/>
  <c r="O39" i="55"/>
  <c r="N39" i="55"/>
  <c r="M39" i="55"/>
  <c r="L39" i="55"/>
  <c r="K39" i="55"/>
  <c r="J39" i="55"/>
  <c r="I39" i="55"/>
  <c r="H39" i="55"/>
  <c r="G39" i="55"/>
  <c r="F39" i="55"/>
  <c r="E39" i="55"/>
  <c r="AH38" i="55"/>
  <c r="AG38" i="55"/>
  <c r="AF38" i="55"/>
  <c r="AE38" i="55"/>
  <c r="AD38" i="55"/>
  <c r="AC38" i="55"/>
  <c r="AB38" i="55"/>
  <c r="AA38" i="55"/>
  <c r="Z38" i="55"/>
  <c r="Y38" i="55"/>
  <c r="X38" i="55"/>
  <c r="W38" i="55"/>
  <c r="V38" i="55"/>
  <c r="U38" i="55"/>
  <c r="T38" i="55"/>
  <c r="S38" i="55"/>
  <c r="R38" i="55"/>
  <c r="Q38" i="55"/>
  <c r="P38" i="55"/>
  <c r="O38" i="55"/>
  <c r="N38" i="55"/>
  <c r="M38" i="55"/>
  <c r="L38" i="55"/>
  <c r="K38" i="55"/>
  <c r="J38" i="55"/>
  <c r="I38" i="55"/>
  <c r="H38" i="55"/>
  <c r="G38" i="55"/>
  <c r="F38" i="55"/>
  <c r="E38" i="55"/>
  <c r="AJ38" i="55" s="1"/>
  <c r="AH37" i="55"/>
  <c r="AG37" i="55"/>
  <c r="AF37" i="55"/>
  <c r="AE37" i="55"/>
  <c r="AD37" i="55"/>
  <c r="AC37" i="55"/>
  <c r="AB37" i="55"/>
  <c r="AA37" i="55"/>
  <c r="Z37" i="55"/>
  <c r="Y37" i="55"/>
  <c r="X37" i="55"/>
  <c r="W37" i="55"/>
  <c r="V37" i="55"/>
  <c r="U37" i="55"/>
  <c r="T37" i="55"/>
  <c r="S37" i="55"/>
  <c r="R37" i="55"/>
  <c r="Q37" i="55"/>
  <c r="P37" i="55"/>
  <c r="O37" i="55"/>
  <c r="N37" i="55"/>
  <c r="M37" i="55"/>
  <c r="L37" i="55"/>
  <c r="K37" i="55"/>
  <c r="J37" i="55"/>
  <c r="I37" i="55"/>
  <c r="H37" i="55"/>
  <c r="G37" i="55"/>
  <c r="F37" i="55"/>
  <c r="E37" i="55"/>
  <c r="AH36" i="55"/>
  <c r="AG36" i="55"/>
  <c r="AG61" i="55" s="1"/>
  <c r="AF36" i="55"/>
  <c r="AE36" i="55"/>
  <c r="AD36" i="55"/>
  <c r="AC36" i="55"/>
  <c r="AB36" i="55"/>
  <c r="AA36" i="55"/>
  <c r="Z36" i="55"/>
  <c r="Y36" i="55"/>
  <c r="Y61" i="55" s="1"/>
  <c r="X36" i="55"/>
  <c r="W36" i="55"/>
  <c r="V36" i="55"/>
  <c r="U36" i="55"/>
  <c r="T36" i="55"/>
  <c r="S36" i="55"/>
  <c r="R36" i="55"/>
  <c r="Q36" i="55"/>
  <c r="Q61" i="55" s="1"/>
  <c r="P36" i="55"/>
  <c r="O36" i="55"/>
  <c r="N36" i="55"/>
  <c r="M36" i="55"/>
  <c r="L36" i="55"/>
  <c r="K36" i="55"/>
  <c r="J36" i="55"/>
  <c r="I36" i="55"/>
  <c r="I61" i="55" s="1"/>
  <c r="H36" i="55"/>
  <c r="G36" i="55"/>
  <c r="F36" i="55"/>
  <c r="E36" i="55"/>
  <c r="AJ36" i="55" s="1"/>
  <c r="AH35" i="55"/>
  <c r="AG35" i="55"/>
  <c r="AF35" i="55"/>
  <c r="AE35" i="55"/>
  <c r="AD35" i="55"/>
  <c r="AC35" i="55"/>
  <c r="AB35" i="55"/>
  <c r="AA35" i="55"/>
  <c r="AA61" i="55" s="1"/>
  <c r="Z35" i="55"/>
  <c r="Y35" i="55"/>
  <c r="X35" i="55"/>
  <c r="W35" i="55"/>
  <c r="V35" i="55"/>
  <c r="U35" i="55"/>
  <c r="T35" i="55"/>
  <c r="S35" i="55"/>
  <c r="S61" i="55" s="1"/>
  <c r="R35" i="55"/>
  <c r="Q35" i="55"/>
  <c r="P35" i="55"/>
  <c r="O35" i="55"/>
  <c r="N35" i="55"/>
  <c r="M35" i="55"/>
  <c r="L35" i="55"/>
  <c r="K35" i="55"/>
  <c r="K61" i="55" s="1"/>
  <c r="J35" i="55"/>
  <c r="I35" i="55"/>
  <c r="H35" i="55"/>
  <c r="G35" i="55"/>
  <c r="F35" i="55"/>
  <c r="E35" i="55"/>
  <c r="AJ29" i="55"/>
  <c r="AJ28" i="55"/>
  <c r="AJ26" i="55"/>
  <c r="AJ25" i="55"/>
  <c r="AJ24" i="55"/>
  <c r="AJ23" i="55"/>
  <c r="AJ22" i="55"/>
  <c r="AJ21" i="55"/>
  <c r="AJ20" i="55"/>
  <c r="AJ18" i="55"/>
  <c r="AJ17" i="55"/>
  <c r="AJ16" i="55"/>
  <c r="AJ15" i="55"/>
  <c r="AJ14" i="55"/>
  <c r="AJ13" i="55"/>
  <c r="AJ12" i="55"/>
  <c r="AJ10" i="55"/>
  <c r="AJ9" i="55"/>
  <c r="AE30" i="55"/>
  <c r="W30" i="55"/>
  <c r="O30" i="55"/>
  <c r="G30" i="55"/>
  <c r="AC30" i="55"/>
  <c r="U30" i="55"/>
  <c r="M30" i="55"/>
  <c r="AJ5" i="55"/>
  <c r="AA30" i="55"/>
  <c r="Y30" i="55"/>
  <c r="S30" i="55"/>
  <c r="Q30" i="55"/>
  <c r="K30" i="55"/>
  <c r="AJ4" i="55"/>
  <c r="AH4" i="52"/>
  <c r="G38" i="52"/>
  <c r="AF27" i="57"/>
  <c r="AG29" i="52"/>
  <c r="AF29" i="52"/>
  <c r="AD27" i="57"/>
  <c r="AE29" i="52"/>
  <c r="AD29" i="52"/>
  <c r="AC29" i="52"/>
  <c r="AA27" i="57"/>
  <c r="AA28" i="57" s="1"/>
  <c r="Z27" i="57"/>
  <c r="AA29" i="52"/>
  <c r="Z29" i="52"/>
  <c r="Y29" i="52"/>
  <c r="W27" i="57"/>
  <c r="X29" i="52"/>
  <c r="W29" i="52"/>
  <c r="U27" i="57"/>
  <c r="V29" i="52"/>
  <c r="U29" i="52"/>
  <c r="S27" i="57"/>
  <c r="S28" i="57" s="1"/>
  <c r="S29" i="52"/>
  <c r="R27" i="57"/>
  <c r="R29" i="52"/>
  <c r="Q29" i="52"/>
  <c r="P29" i="52"/>
  <c r="O29" i="52"/>
  <c r="N29" i="52"/>
  <c r="P27" i="57"/>
  <c r="M29" i="52"/>
  <c r="L27" i="57"/>
  <c r="L29" i="52"/>
  <c r="K29" i="52"/>
  <c r="J29" i="52"/>
  <c r="I29" i="52"/>
  <c r="H27" i="57"/>
  <c r="H29" i="52"/>
  <c r="G27" i="57"/>
  <c r="G29" i="52"/>
  <c r="F29" i="52"/>
  <c r="AG28" i="52"/>
  <c r="AF28" i="52"/>
  <c r="AE28" i="52"/>
  <c r="AD28" i="52"/>
  <c r="AC28" i="52"/>
  <c r="AB28" i="52"/>
  <c r="AA28" i="52"/>
  <c r="Z28" i="52"/>
  <c r="Y28" i="52"/>
  <c r="X28" i="52"/>
  <c r="W28" i="52"/>
  <c r="V28" i="52"/>
  <c r="U28" i="52"/>
  <c r="S28" i="52"/>
  <c r="R28" i="52"/>
  <c r="Q28" i="52"/>
  <c r="P28" i="52"/>
  <c r="O28" i="52"/>
  <c r="N28" i="52"/>
  <c r="M28" i="52"/>
  <c r="L28" i="52"/>
  <c r="K28" i="52"/>
  <c r="J28" i="52"/>
  <c r="I28" i="52"/>
  <c r="H28" i="52"/>
  <c r="G28" i="52"/>
  <c r="F28" i="52"/>
  <c r="AG27" i="52"/>
  <c r="AF27" i="52"/>
  <c r="AE27" i="52"/>
  <c r="AD27" i="52"/>
  <c r="AC27" i="52"/>
  <c r="AB27" i="52"/>
  <c r="AA27" i="52"/>
  <c r="Z27" i="52"/>
  <c r="Y27" i="52"/>
  <c r="X27" i="52"/>
  <c r="W27" i="52"/>
  <c r="V27" i="52"/>
  <c r="U27" i="52"/>
  <c r="S27" i="52"/>
  <c r="R27" i="52"/>
  <c r="Q27" i="52"/>
  <c r="P27" i="52"/>
  <c r="O27" i="52"/>
  <c r="N27" i="52"/>
  <c r="M27" i="52"/>
  <c r="L27" i="52"/>
  <c r="K27" i="52"/>
  <c r="J27" i="52"/>
  <c r="I27" i="52"/>
  <c r="H27" i="52"/>
  <c r="G27" i="52"/>
  <c r="F27" i="52"/>
  <c r="AG26" i="52"/>
  <c r="AF26" i="52"/>
  <c r="AE26" i="52"/>
  <c r="AD26" i="52"/>
  <c r="AC26" i="52"/>
  <c r="AB26" i="52"/>
  <c r="AA26" i="52"/>
  <c r="Z26" i="52"/>
  <c r="Y26" i="52"/>
  <c r="X26" i="52"/>
  <c r="W26" i="52"/>
  <c r="V26" i="52"/>
  <c r="U26" i="52"/>
  <c r="S26" i="52"/>
  <c r="R26" i="52"/>
  <c r="Q26" i="52"/>
  <c r="P26" i="52"/>
  <c r="O26" i="52"/>
  <c r="N26" i="52"/>
  <c r="M26" i="52"/>
  <c r="L26" i="52"/>
  <c r="K26" i="52"/>
  <c r="J26" i="52"/>
  <c r="I26" i="52"/>
  <c r="H26" i="52"/>
  <c r="G26" i="52"/>
  <c r="F26" i="52"/>
  <c r="AG25" i="52"/>
  <c r="AF25" i="52"/>
  <c r="AE25" i="52"/>
  <c r="AD25" i="52"/>
  <c r="AC25" i="52"/>
  <c r="AB25" i="52"/>
  <c r="AA25" i="52"/>
  <c r="Z25" i="52"/>
  <c r="Y25" i="52"/>
  <c r="X25" i="52"/>
  <c r="W25" i="52"/>
  <c r="V25" i="52"/>
  <c r="U25" i="52"/>
  <c r="S25" i="52"/>
  <c r="R25" i="52"/>
  <c r="Q25" i="52"/>
  <c r="P25" i="52"/>
  <c r="O25" i="52"/>
  <c r="N25" i="52"/>
  <c r="M25" i="52"/>
  <c r="L25" i="52"/>
  <c r="K25" i="52"/>
  <c r="J25" i="52"/>
  <c r="I25" i="52"/>
  <c r="H25" i="52"/>
  <c r="G25" i="52"/>
  <c r="F25" i="52"/>
  <c r="AG24" i="52"/>
  <c r="AF24" i="52"/>
  <c r="AE24" i="52"/>
  <c r="AD24" i="52"/>
  <c r="AC24" i="52"/>
  <c r="AB24" i="52"/>
  <c r="AA24" i="52"/>
  <c r="Z24" i="52"/>
  <c r="Y24" i="52"/>
  <c r="X24" i="52"/>
  <c r="W24" i="52"/>
  <c r="V24" i="52"/>
  <c r="U24" i="52"/>
  <c r="S24" i="52"/>
  <c r="R24" i="52"/>
  <c r="Q24" i="52"/>
  <c r="P24" i="52"/>
  <c r="O24" i="52"/>
  <c r="N24" i="52"/>
  <c r="M24" i="52"/>
  <c r="L24" i="52"/>
  <c r="K24" i="52"/>
  <c r="J24" i="52"/>
  <c r="I24" i="52"/>
  <c r="H24" i="52"/>
  <c r="G24" i="52"/>
  <c r="F24" i="52"/>
  <c r="AG23" i="52"/>
  <c r="AF23" i="52"/>
  <c r="AE23" i="52"/>
  <c r="AD23" i="52"/>
  <c r="AC23" i="52"/>
  <c r="AB23" i="52"/>
  <c r="AA23" i="52"/>
  <c r="Z23" i="52"/>
  <c r="Y23" i="52"/>
  <c r="X23" i="52"/>
  <c r="W23" i="52"/>
  <c r="V23" i="52"/>
  <c r="U23" i="52"/>
  <c r="S23" i="52"/>
  <c r="R23" i="52"/>
  <c r="Q23" i="52"/>
  <c r="P23" i="52"/>
  <c r="O23" i="52"/>
  <c r="N23" i="52"/>
  <c r="M23" i="52"/>
  <c r="L23" i="52"/>
  <c r="K23" i="52"/>
  <c r="J23" i="52"/>
  <c r="I23" i="52"/>
  <c r="H23" i="52"/>
  <c r="G23" i="52"/>
  <c r="F23" i="52"/>
  <c r="AG22" i="52"/>
  <c r="AF22" i="52"/>
  <c r="AE22" i="52"/>
  <c r="AD22" i="52"/>
  <c r="AC22" i="52"/>
  <c r="AB22" i="52"/>
  <c r="AA22" i="52"/>
  <c r="Z22" i="52"/>
  <c r="Y22" i="52"/>
  <c r="X22" i="52"/>
  <c r="W22" i="52"/>
  <c r="V22" i="52"/>
  <c r="U22" i="52"/>
  <c r="S22" i="52"/>
  <c r="R22" i="52"/>
  <c r="Q22" i="52"/>
  <c r="P22" i="52"/>
  <c r="O22" i="52"/>
  <c r="N22" i="52"/>
  <c r="M22" i="52"/>
  <c r="L22" i="52"/>
  <c r="K22" i="52"/>
  <c r="J22" i="52"/>
  <c r="I22" i="52"/>
  <c r="H22" i="52"/>
  <c r="G22" i="52"/>
  <c r="F22" i="52"/>
  <c r="AG21" i="52"/>
  <c r="AF21" i="52"/>
  <c r="AE21" i="52"/>
  <c r="AD21" i="52"/>
  <c r="AC21" i="52"/>
  <c r="AB21" i="52"/>
  <c r="AA21" i="52"/>
  <c r="Z21" i="52"/>
  <c r="Y21" i="52"/>
  <c r="X21" i="52"/>
  <c r="W21" i="52"/>
  <c r="V21" i="52"/>
  <c r="U21" i="52"/>
  <c r="S21" i="52"/>
  <c r="R21" i="52"/>
  <c r="Q21" i="52"/>
  <c r="P21" i="52"/>
  <c r="O21" i="52"/>
  <c r="N21" i="52"/>
  <c r="M21" i="52"/>
  <c r="L21" i="52"/>
  <c r="K21" i="52"/>
  <c r="J21" i="52"/>
  <c r="I21" i="52"/>
  <c r="H21" i="52"/>
  <c r="G21" i="52"/>
  <c r="F21" i="52"/>
  <c r="AG20" i="52"/>
  <c r="AF20" i="52"/>
  <c r="AE20" i="52"/>
  <c r="AD20" i="52"/>
  <c r="AC20" i="52"/>
  <c r="AB20" i="52"/>
  <c r="AA20" i="52"/>
  <c r="Z20" i="52"/>
  <c r="Y20" i="52"/>
  <c r="X20" i="52"/>
  <c r="W20" i="52"/>
  <c r="V20" i="52"/>
  <c r="U20" i="52"/>
  <c r="S20" i="52"/>
  <c r="R20" i="52"/>
  <c r="Q20" i="52"/>
  <c r="P20" i="52"/>
  <c r="O20" i="52"/>
  <c r="N20" i="52"/>
  <c r="M20" i="52"/>
  <c r="L20" i="52"/>
  <c r="K20" i="52"/>
  <c r="J20" i="52"/>
  <c r="I20" i="52"/>
  <c r="H20" i="52"/>
  <c r="G20" i="52"/>
  <c r="F20" i="52"/>
  <c r="AG19" i="52"/>
  <c r="AF19" i="52"/>
  <c r="AE19" i="52"/>
  <c r="AD19" i="52"/>
  <c r="AC19" i="52"/>
  <c r="AB19" i="52"/>
  <c r="AA19" i="52"/>
  <c r="Z19" i="52"/>
  <c r="Y19" i="52"/>
  <c r="X19" i="52"/>
  <c r="W19" i="52"/>
  <c r="V19" i="52"/>
  <c r="U19" i="52"/>
  <c r="S19" i="52"/>
  <c r="R19" i="52"/>
  <c r="Q19" i="52"/>
  <c r="P19" i="52"/>
  <c r="O19" i="52"/>
  <c r="N19" i="52"/>
  <c r="M19" i="52"/>
  <c r="L19" i="52"/>
  <c r="K19" i="52"/>
  <c r="J19" i="52"/>
  <c r="I19" i="52"/>
  <c r="H19" i="52"/>
  <c r="G19" i="52"/>
  <c r="F19" i="52"/>
  <c r="AG18" i="52"/>
  <c r="AF18" i="52"/>
  <c r="AE18" i="52"/>
  <c r="AD18" i="52"/>
  <c r="AC18" i="52"/>
  <c r="AB18" i="52"/>
  <c r="AA18" i="52"/>
  <c r="Z18" i="52"/>
  <c r="Y18" i="52"/>
  <c r="X18" i="52"/>
  <c r="W18" i="52"/>
  <c r="V18" i="52"/>
  <c r="U18" i="52"/>
  <c r="S18" i="52"/>
  <c r="R18" i="52"/>
  <c r="Q18" i="52"/>
  <c r="P18" i="52"/>
  <c r="O18" i="52"/>
  <c r="N18" i="52"/>
  <c r="M18" i="52"/>
  <c r="L18" i="52"/>
  <c r="K18" i="52"/>
  <c r="J18" i="52"/>
  <c r="I18" i="52"/>
  <c r="H18" i="52"/>
  <c r="G18" i="52"/>
  <c r="F18" i="52"/>
  <c r="AG17" i="52"/>
  <c r="AF17" i="52"/>
  <c r="AE17" i="52"/>
  <c r="AD17" i="52"/>
  <c r="AC17" i="52"/>
  <c r="AB17" i="52"/>
  <c r="AA17" i="52"/>
  <c r="Z17" i="52"/>
  <c r="Y17" i="52"/>
  <c r="X17" i="52"/>
  <c r="W17" i="52"/>
  <c r="V17" i="52"/>
  <c r="U17" i="52"/>
  <c r="S17" i="52"/>
  <c r="R17" i="52"/>
  <c r="Q17" i="52"/>
  <c r="P17" i="52"/>
  <c r="O17" i="52"/>
  <c r="N17" i="52"/>
  <c r="M17" i="52"/>
  <c r="L17" i="52"/>
  <c r="K17" i="52"/>
  <c r="J17" i="52"/>
  <c r="I17" i="52"/>
  <c r="H17" i="52"/>
  <c r="G17" i="52"/>
  <c r="F17" i="52"/>
  <c r="AG16" i="52"/>
  <c r="AF16" i="52"/>
  <c r="AE16" i="52"/>
  <c r="AD16" i="52"/>
  <c r="AC16" i="52"/>
  <c r="AB16" i="52"/>
  <c r="AA16" i="52"/>
  <c r="Z16" i="52"/>
  <c r="Y16" i="52"/>
  <c r="X16" i="52"/>
  <c r="W16" i="52"/>
  <c r="V16" i="52"/>
  <c r="U16" i="52"/>
  <c r="S16" i="52"/>
  <c r="R16" i="52"/>
  <c r="Q16" i="52"/>
  <c r="P16" i="52"/>
  <c r="O16" i="52"/>
  <c r="N16" i="52"/>
  <c r="M16" i="52"/>
  <c r="L16" i="52"/>
  <c r="K16" i="52"/>
  <c r="J16" i="52"/>
  <c r="I16" i="52"/>
  <c r="H16" i="52"/>
  <c r="G16" i="52"/>
  <c r="F16" i="52"/>
  <c r="AG15" i="52"/>
  <c r="AF15" i="52"/>
  <c r="AE15" i="52"/>
  <c r="AD15" i="52"/>
  <c r="AC15" i="52"/>
  <c r="AB15" i="52"/>
  <c r="AA15" i="52"/>
  <c r="Z15" i="52"/>
  <c r="Y15" i="52"/>
  <c r="X15" i="52"/>
  <c r="W15" i="52"/>
  <c r="V15" i="52"/>
  <c r="U15" i="52"/>
  <c r="S15" i="52"/>
  <c r="R15" i="52"/>
  <c r="Q15" i="52"/>
  <c r="P15" i="52"/>
  <c r="O15" i="52"/>
  <c r="N15" i="52"/>
  <c r="M15" i="52"/>
  <c r="L15" i="52"/>
  <c r="K15" i="52"/>
  <c r="J15" i="52"/>
  <c r="I15" i="52"/>
  <c r="H15" i="52"/>
  <c r="G15" i="52"/>
  <c r="F15" i="52"/>
  <c r="AG14" i="52"/>
  <c r="AF14" i="52"/>
  <c r="AE14" i="52"/>
  <c r="AD14" i="52"/>
  <c r="AC14" i="52"/>
  <c r="AB14" i="52"/>
  <c r="AA14" i="52"/>
  <c r="Z14" i="52"/>
  <c r="Y14" i="52"/>
  <c r="X14" i="52"/>
  <c r="W14" i="52"/>
  <c r="V14" i="52"/>
  <c r="U14" i="52"/>
  <c r="S14" i="52"/>
  <c r="R14" i="52"/>
  <c r="Q14" i="52"/>
  <c r="P14" i="52"/>
  <c r="O14" i="52"/>
  <c r="N14" i="52"/>
  <c r="M14" i="52"/>
  <c r="L14" i="52"/>
  <c r="K14" i="52"/>
  <c r="J14" i="52"/>
  <c r="I14" i="52"/>
  <c r="H14" i="52"/>
  <c r="G14" i="52"/>
  <c r="F14" i="52"/>
  <c r="AG13" i="52"/>
  <c r="AF13" i="52"/>
  <c r="AE13" i="52"/>
  <c r="AD13" i="52"/>
  <c r="AC13" i="52"/>
  <c r="AB13" i="52"/>
  <c r="AA13" i="52"/>
  <c r="Z13" i="52"/>
  <c r="Y13" i="52"/>
  <c r="X13" i="52"/>
  <c r="W13" i="52"/>
  <c r="V13" i="52"/>
  <c r="U13" i="52"/>
  <c r="S13" i="52"/>
  <c r="R13" i="52"/>
  <c r="Q13" i="52"/>
  <c r="P13" i="52"/>
  <c r="O13" i="52"/>
  <c r="N13" i="52"/>
  <c r="M13" i="52"/>
  <c r="L13" i="52"/>
  <c r="K13" i="52"/>
  <c r="J13" i="52"/>
  <c r="I13" i="52"/>
  <c r="H13" i="52"/>
  <c r="G13" i="52"/>
  <c r="F13" i="52"/>
  <c r="AG12" i="52"/>
  <c r="AF12" i="52"/>
  <c r="AE12" i="52"/>
  <c r="AD12" i="52"/>
  <c r="AC12" i="52"/>
  <c r="AB12" i="52"/>
  <c r="AA12" i="52"/>
  <c r="Z12" i="52"/>
  <c r="Y12" i="52"/>
  <c r="X12" i="52"/>
  <c r="W12" i="52"/>
  <c r="V12" i="52"/>
  <c r="U12" i="52"/>
  <c r="S12" i="52"/>
  <c r="R12" i="52"/>
  <c r="Q12" i="52"/>
  <c r="P12" i="52"/>
  <c r="O12" i="52"/>
  <c r="N12" i="52"/>
  <c r="M12" i="52"/>
  <c r="L12" i="52"/>
  <c r="K12" i="52"/>
  <c r="J12" i="52"/>
  <c r="I12" i="52"/>
  <c r="H12" i="52"/>
  <c r="G12" i="52"/>
  <c r="F12" i="52"/>
  <c r="AG11" i="52"/>
  <c r="AF11" i="52"/>
  <c r="AE11" i="52"/>
  <c r="AD11" i="52"/>
  <c r="AC11" i="52"/>
  <c r="AB11" i="52"/>
  <c r="AA11" i="52"/>
  <c r="Z11" i="52"/>
  <c r="Y11" i="52"/>
  <c r="X11" i="52"/>
  <c r="W11" i="52"/>
  <c r="V11" i="52"/>
  <c r="U11" i="52"/>
  <c r="S11" i="52"/>
  <c r="R11" i="52"/>
  <c r="Q11" i="52"/>
  <c r="P11" i="52"/>
  <c r="O11" i="52"/>
  <c r="N11" i="52"/>
  <c r="M11" i="52"/>
  <c r="L11" i="52"/>
  <c r="K11" i="52"/>
  <c r="J11" i="52"/>
  <c r="I11" i="52"/>
  <c r="H11" i="52"/>
  <c r="G11" i="52"/>
  <c r="F11" i="52"/>
  <c r="AG10" i="52"/>
  <c r="AF10" i="52"/>
  <c r="AE10" i="52"/>
  <c r="AD10" i="52"/>
  <c r="AC10" i="52"/>
  <c r="AB10" i="52"/>
  <c r="AA10" i="52"/>
  <c r="Z10" i="52"/>
  <c r="Y10" i="52"/>
  <c r="X10" i="52"/>
  <c r="W10" i="52"/>
  <c r="V10" i="52"/>
  <c r="U10" i="52"/>
  <c r="S10" i="52"/>
  <c r="R10" i="52"/>
  <c r="Q10" i="52"/>
  <c r="P10" i="52"/>
  <c r="O10" i="52"/>
  <c r="N10" i="52"/>
  <c r="M10" i="52"/>
  <c r="L10" i="52"/>
  <c r="K10" i="52"/>
  <c r="J10" i="52"/>
  <c r="I10" i="52"/>
  <c r="H10" i="52"/>
  <c r="G10" i="52"/>
  <c r="F10" i="52"/>
  <c r="AG9" i="52"/>
  <c r="AF9" i="52"/>
  <c r="AE9" i="52"/>
  <c r="AD9" i="52"/>
  <c r="AC9" i="52"/>
  <c r="AB9" i="52"/>
  <c r="AA9" i="52"/>
  <c r="Z9" i="52"/>
  <c r="Y9" i="52"/>
  <c r="X9" i="52"/>
  <c r="W9" i="52"/>
  <c r="V9" i="52"/>
  <c r="U9" i="52"/>
  <c r="S9" i="52"/>
  <c r="R9" i="52"/>
  <c r="Q9" i="52"/>
  <c r="P9" i="52"/>
  <c r="O9" i="52"/>
  <c r="N9" i="52"/>
  <c r="M9" i="52"/>
  <c r="L9" i="52"/>
  <c r="K9" i="52"/>
  <c r="J9" i="52"/>
  <c r="I9" i="52"/>
  <c r="H9" i="52"/>
  <c r="G9" i="52"/>
  <c r="F9" i="52"/>
  <c r="AG8" i="52"/>
  <c r="AF8" i="52"/>
  <c r="AE8" i="52"/>
  <c r="AD8" i="52"/>
  <c r="AC8" i="52"/>
  <c r="AB8" i="52"/>
  <c r="AA8" i="52"/>
  <c r="Z8" i="52"/>
  <c r="Y8" i="52"/>
  <c r="X8" i="52"/>
  <c r="W8" i="52"/>
  <c r="V8" i="52"/>
  <c r="U8" i="52"/>
  <c r="S8" i="52"/>
  <c r="R8" i="52"/>
  <c r="Q8" i="52"/>
  <c r="P8" i="52"/>
  <c r="O8" i="52"/>
  <c r="N8" i="52"/>
  <c r="M8" i="52"/>
  <c r="L8" i="52"/>
  <c r="K8" i="52"/>
  <c r="J8" i="52"/>
  <c r="I8" i="52"/>
  <c r="H8" i="52"/>
  <c r="G8" i="52"/>
  <c r="F8" i="52"/>
  <c r="AG7" i="52"/>
  <c r="AF7" i="52"/>
  <c r="AF30" i="52" s="1"/>
  <c r="AE7" i="52"/>
  <c r="AD7" i="52"/>
  <c r="AC7" i="52"/>
  <c r="AB7" i="52"/>
  <c r="AA7" i="52"/>
  <c r="Z7" i="52"/>
  <c r="Y7" i="52"/>
  <c r="X7" i="52"/>
  <c r="W7" i="52"/>
  <c r="V7" i="52"/>
  <c r="U7" i="52"/>
  <c r="S7" i="52"/>
  <c r="R7" i="52"/>
  <c r="Q7" i="52"/>
  <c r="P7" i="52"/>
  <c r="O7" i="52"/>
  <c r="N7" i="52"/>
  <c r="M7" i="52"/>
  <c r="L7" i="52"/>
  <c r="K7" i="52"/>
  <c r="J7" i="52"/>
  <c r="I7" i="52"/>
  <c r="H7" i="52"/>
  <c r="G7" i="52"/>
  <c r="F7" i="52"/>
  <c r="AG6" i="52"/>
  <c r="AF6" i="52"/>
  <c r="AE6" i="52"/>
  <c r="AD6" i="52"/>
  <c r="AC6" i="52"/>
  <c r="AB6" i="52"/>
  <c r="AA6" i="52"/>
  <c r="Z6" i="52"/>
  <c r="Y6" i="52"/>
  <c r="X6" i="52"/>
  <c r="W6" i="52"/>
  <c r="V6" i="52"/>
  <c r="U6" i="52"/>
  <c r="S6" i="52"/>
  <c r="R6" i="52"/>
  <c r="Q6" i="52"/>
  <c r="P6" i="52"/>
  <c r="O6" i="52"/>
  <c r="N6" i="52"/>
  <c r="M6" i="52"/>
  <c r="L6" i="52"/>
  <c r="K6" i="52"/>
  <c r="J6" i="52"/>
  <c r="I6" i="52"/>
  <c r="H6" i="52"/>
  <c r="G6" i="52"/>
  <c r="F6" i="52"/>
  <c r="AG5" i="52"/>
  <c r="AF5" i="52"/>
  <c r="AE5" i="52"/>
  <c r="AD5" i="52"/>
  <c r="AC5" i="52"/>
  <c r="AB5" i="52"/>
  <c r="AA5" i="52"/>
  <c r="Z5" i="52"/>
  <c r="Y5" i="52"/>
  <c r="X5" i="52"/>
  <c r="W5" i="52"/>
  <c r="V5" i="52"/>
  <c r="U5" i="52"/>
  <c r="S5" i="52"/>
  <c r="R5" i="52"/>
  <c r="Q5" i="52"/>
  <c r="P5" i="52"/>
  <c r="O5" i="52"/>
  <c r="N5" i="52"/>
  <c r="M5" i="52"/>
  <c r="L5" i="52"/>
  <c r="K5" i="52"/>
  <c r="J5" i="52"/>
  <c r="I5" i="52"/>
  <c r="H5" i="52"/>
  <c r="G5" i="52"/>
  <c r="F5" i="52"/>
  <c r="AG4" i="52"/>
  <c r="AF4" i="52"/>
  <c r="AE4" i="52"/>
  <c r="AD4" i="52"/>
  <c r="AC4" i="52"/>
  <c r="AB4" i="52"/>
  <c r="AA4" i="52"/>
  <c r="Z4" i="52"/>
  <c r="Y4" i="52"/>
  <c r="X4" i="52"/>
  <c r="W4" i="52"/>
  <c r="V4" i="52"/>
  <c r="U4" i="52"/>
  <c r="S4" i="52"/>
  <c r="R4" i="52"/>
  <c r="Q4" i="52"/>
  <c r="P4" i="52"/>
  <c r="P30" i="52" s="1"/>
  <c r="O4" i="52"/>
  <c r="N4" i="52"/>
  <c r="M4" i="52"/>
  <c r="L4" i="52"/>
  <c r="K4" i="52"/>
  <c r="J4" i="52"/>
  <c r="I4" i="52"/>
  <c r="H4" i="52"/>
  <c r="G4" i="52"/>
  <c r="F4" i="52"/>
  <c r="E5" i="52"/>
  <c r="AH5" i="52"/>
  <c r="E6" i="52"/>
  <c r="AH6" i="52"/>
  <c r="E7" i="52"/>
  <c r="T7" i="52"/>
  <c r="AH7" i="52"/>
  <c r="E8" i="52"/>
  <c r="AH8" i="52"/>
  <c r="E9" i="52"/>
  <c r="AH9" i="52"/>
  <c r="E10" i="52"/>
  <c r="AH10" i="52"/>
  <c r="E11" i="52"/>
  <c r="AH11" i="52"/>
  <c r="E12" i="52"/>
  <c r="AH12" i="52"/>
  <c r="E13" i="52"/>
  <c r="AH13" i="52"/>
  <c r="E14" i="52"/>
  <c r="AH14" i="52"/>
  <c r="E15" i="52"/>
  <c r="AH15" i="52"/>
  <c r="E16" i="52"/>
  <c r="AH16" i="52"/>
  <c r="E17" i="52"/>
  <c r="AH17" i="52"/>
  <c r="E18" i="52"/>
  <c r="AH18" i="52"/>
  <c r="E19" i="52"/>
  <c r="AH19" i="52"/>
  <c r="E20" i="52"/>
  <c r="AH20" i="52"/>
  <c r="E21" i="52"/>
  <c r="AH21" i="52"/>
  <c r="E22" i="52"/>
  <c r="AH22" i="52"/>
  <c r="E23" i="52"/>
  <c r="AH23" i="52"/>
  <c r="E24" i="52"/>
  <c r="T24" i="52"/>
  <c r="AH24" i="52"/>
  <c r="E25" i="52"/>
  <c r="AH25" i="52"/>
  <c r="E26" i="52"/>
  <c r="AH26" i="52"/>
  <c r="E27" i="52"/>
  <c r="AH27" i="52"/>
  <c r="E28" i="52"/>
  <c r="AH28" i="52"/>
  <c r="E29" i="52"/>
  <c r="AH29" i="52"/>
  <c r="E4" i="52"/>
  <c r="B35" i="31"/>
  <c r="B34" i="31"/>
  <c r="P43" i="4"/>
  <c r="P42" i="4"/>
  <c r="P40" i="4"/>
  <c r="P35" i="4"/>
  <c r="G4" i="53"/>
  <c r="R60" i="53"/>
  <c r="F28" i="57"/>
  <c r="G28" i="57"/>
  <c r="H28" i="57"/>
  <c r="I28" i="57"/>
  <c r="J28" i="57"/>
  <c r="K28" i="57"/>
  <c r="L28" i="57"/>
  <c r="M28" i="57"/>
  <c r="N28" i="57"/>
  <c r="O28" i="57"/>
  <c r="P28" i="57"/>
  <c r="Q28" i="57"/>
  <c r="R28" i="57"/>
  <c r="T28" i="57"/>
  <c r="U28" i="57"/>
  <c r="V28" i="57"/>
  <c r="W28" i="57"/>
  <c r="X28" i="57"/>
  <c r="Y28" i="57"/>
  <c r="Z28" i="57"/>
  <c r="AB28" i="57"/>
  <c r="AC28" i="57"/>
  <c r="AD28" i="57"/>
  <c r="AE28" i="57"/>
  <c r="AF28" i="57"/>
  <c r="E28" i="57"/>
  <c r="G42" i="52"/>
  <c r="E35" i="52"/>
  <c r="AJ6" i="55"/>
  <c r="AD30" i="55"/>
  <c r="V30" i="55"/>
  <c r="N30" i="55"/>
  <c r="F30" i="55"/>
  <c r="AH30" i="55"/>
  <c r="AB30" i="55"/>
  <c r="Z30" i="55"/>
  <c r="T30" i="55"/>
  <c r="R30" i="55"/>
  <c r="L30" i="55"/>
  <c r="J30" i="55"/>
  <c r="E30" i="55"/>
  <c r="H30" i="55"/>
  <c r="P30" i="55"/>
  <c r="X30" i="55"/>
  <c r="AF30" i="55"/>
  <c r="AG30" i="55"/>
  <c r="E38" i="52"/>
  <c r="F38" i="52"/>
  <c r="H38" i="52"/>
  <c r="I38" i="52"/>
  <c r="J38" i="52"/>
  <c r="K38" i="52"/>
  <c r="L38" i="52"/>
  <c r="M38" i="52"/>
  <c r="N38" i="52"/>
  <c r="O38" i="52"/>
  <c r="P38" i="52"/>
  <c r="Q38" i="52"/>
  <c r="R38" i="52"/>
  <c r="S38" i="52"/>
  <c r="U38" i="52"/>
  <c r="V38" i="52"/>
  <c r="W38" i="52"/>
  <c r="X38" i="52"/>
  <c r="Y38" i="52"/>
  <c r="Z38" i="52"/>
  <c r="AA38" i="52"/>
  <c r="AB38" i="52"/>
  <c r="AC38" i="52"/>
  <c r="AD38" i="52"/>
  <c r="AE38" i="52"/>
  <c r="AF38" i="52"/>
  <c r="AG38" i="52"/>
  <c r="AH38" i="52"/>
  <c r="H30" i="52"/>
  <c r="X30" i="52"/>
  <c r="U36" i="48"/>
  <c r="AG36" i="48"/>
  <c r="AH36" i="48"/>
  <c r="AI36" i="48"/>
  <c r="E37" i="4"/>
  <c r="F37" i="4"/>
  <c r="G37" i="4"/>
  <c r="H37" i="4"/>
  <c r="I37" i="48" s="1"/>
  <c r="I37" i="4"/>
  <c r="J37" i="4"/>
  <c r="K37" i="4"/>
  <c r="L37" i="4"/>
  <c r="M37" i="4"/>
  <c r="N37" i="48" s="1"/>
  <c r="N37" i="4"/>
  <c r="O37" i="48" s="1"/>
  <c r="O37" i="4"/>
  <c r="P37" i="48" s="1"/>
  <c r="P37" i="4"/>
  <c r="Q37" i="4"/>
  <c r="R37" i="4"/>
  <c r="S37" i="48" s="1"/>
  <c r="S37" i="4"/>
  <c r="T37" i="48" s="1"/>
  <c r="T37" i="4"/>
  <c r="U37" i="4"/>
  <c r="V37" i="4"/>
  <c r="W37" i="4"/>
  <c r="X37" i="48" s="1"/>
  <c r="X37" i="4"/>
  <c r="Y37" i="4"/>
  <c r="Z37" i="4"/>
  <c r="AA37" i="4"/>
  <c r="AB37" i="4"/>
  <c r="AC37" i="4"/>
  <c r="AD37" i="4"/>
  <c r="AE37" i="4"/>
  <c r="AF37" i="4"/>
  <c r="AG37" i="48" s="1"/>
  <c r="AG37" i="4"/>
  <c r="AH37" i="4"/>
  <c r="AI37" i="48" s="1"/>
  <c r="E38" i="4"/>
  <c r="F38" i="4"/>
  <c r="G38" i="4"/>
  <c r="H38" i="48" s="1"/>
  <c r="H38" i="4"/>
  <c r="I38" i="4"/>
  <c r="J38" i="4"/>
  <c r="K38" i="4"/>
  <c r="L38" i="4"/>
  <c r="M38" i="4"/>
  <c r="N38" i="4"/>
  <c r="O38" i="48" s="1"/>
  <c r="O38" i="4"/>
  <c r="P38" i="48" s="1"/>
  <c r="P38" i="4"/>
  <c r="Q38" i="4"/>
  <c r="R38" i="48" s="1"/>
  <c r="R38" i="4"/>
  <c r="S38" i="48" s="1"/>
  <c r="S38" i="4"/>
  <c r="T38" i="48" s="1"/>
  <c r="T38" i="4"/>
  <c r="U38" i="48" s="1"/>
  <c r="U38" i="4"/>
  <c r="V38" i="4"/>
  <c r="W38" i="4"/>
  <c r="X38" i="4"/>
  <c r="Y38" i="4"/>
  <c r="Z38" i="4"/>
  <c r="AA38" i="4"/>
  <c r="AB38" i="48" s="1"/>
  <c r="AB38" i="4"/>
  <c r="AC38" i="48" s="1"/>
  <c r="AC38" i="4"/>
  <c r="AD38" i="4"/>
  <c r="AE38" i="4"/>
  <c r="AF38" i="4"/>
  <c r="AG38" i="48" s="1"/>
  <c r="AG38" i="4"/>
  <c r="AH38" i="4"/>
  <c r="AI38" i="48" s="1"/>
  <c r="E39" i="4"/>
  <c r="F39" i="4"/>
  <c r="G39" i="4"/>
  <c r="H39" i="4"/>
  <c r="I39" i="48" s="1"/>
  <c r="I39" i="4"/>
  <c r="J39" i="4"/>
  <c r="K39" i="4"/>
  <c r="L39" i="4"/>
  <c r="M39" i="48" s="1"/>
  <c r="M39" i="4"/>
  <c r="N39" i="4"/>
  <c r="O39" i="4"/>
  <c r="P39" i="4"/>
  <c r="Q39" i="48" s="1"/>
  <c r="Q39" i="4"/>
  <c r="R39" i="4"/>
  <c r="S39" i="4"/>
  <c r="T39" i="48" s="1"/>
  <c r="T39" i="4"/>
  <c r="U39" i="4"/>
  <c r="V39" i="4"/>
  <c r="W39" i="4"/>
  <c r="X39" i="4"/>
  <c r="Y39" i="48" s="1"/>
  <c r="Y39" i="4"/>
  <c r="Z39" i="4"/>
  <c r="AA39" i="48" s="1"/>
  <c r="AA39" i="4"/>
  <c r="AB39" i="48" s="1"/>
  <c r="AB39" i="4"/>
  <c r="AC39" i="48" s="1"/>
  <c r="AC39" i="4"/>
  <c r="AD39" i="4"/>
  <c r="AE39" i="4"/>
  <c r="AF39" i="4"/>
  <c r="AG39" i="4"/>
  <c r="AH39" i="4"/>
  <c r="E40" i="4"/>
  <c r="F40" i="4"/>
  <c r="G40" i="4"/>
  <c r="H40" i="4"/>
  <c r="I40" i="48" s="1"/>
  <c r="I40" i="4"/>
  <c r="J40" i="4"/>
  <c r="K40" i="4"/>
  <c r="L40" i="4"/>
  <c r="M40" i="4"/>
  <c r="N40" i="4"/>
  <c r="O40" i="4"/>
  <c r="Q40" i="4"/>
  <c r="R40" i="4"/>
  <c r="S40" i="48" s="1"/>
  <c r="S40" i="4"/>
  <c r="T40" i="4"/>
  <c r="U40" i="48" s="1"/>
  <c r="U40" i="4"/>
  <c r="V40" i="4"/>
  <c r="W40" i="4"/>
  <c r="X40" i="4"/>
  <c r="Y40" i="4"/>
  <c r="Z40" i="4"/>
  <c r="AA40" i="48" s="1"/>
  <c r="AA40" i="4"/>
  <c r="AB40" i="4"/>
  <c r="AC40" i="48" s="1"/>
  <c r="AC40" i="4"/>
  <c r="AD40" i="4"/>
  <c r="AE40" i="4"/>
  <c r="AF40" i="4"/>
  <c r="AG40" i="4"/>
  <c r="AH40" i="4"/>
  <c r="E41" i="4"/>
  <c r="F41" i="4"/>
  <c r="G41" i="4"/>
  <c r="H41" i="4"/>
  <c r="I41" i="4"/>
  <c r="J41" i="4"/>
  <c r="K41" i="4"/>
  <c r="L41" i="48" s="1"/>
  <c r="L41" i="4"/>
  <c r="M41" i="48" s="1"/>
  <c r="M41" i="4"/>
  <c r="N41" i="4"/>
  <c r="O41" i="4"/>
  <c r="P41" i="4"/>
  <c r="Q41" i="4"/>
  <c r="R41" i="4"/>
  <c r="S41" i="4"/>
  <c r="T41" i="4"/>
  <c r="U41" i="4"/>
  <c r="V41" i="48" s="1"/>
  <c r="V41" i="4"/>
  <c r="W41" i="4"/>
  <c r="X41" i="4"/>
  <c r="Y41" i="4"/>
  <c r="Z41" i="4"/>
  <c r="AA41" i="4"/>
  <c r="AB41" i="48" s="1"/>
  <c r="AB41" i="4"/>
  <c r="AC41" i="4"/>
  <c r="AD41" i="4"/>
  <c r="AE41" i="48" s="1"/>
  <c r="AE41" i="4"/>
  <c r="AF41" i="48" s="1"/>
  <c r="AF41" i="4"/>
  <c r="AG41" i="4"/>
  <c r="AH41" i="4"/>
  <c r="AI41" i="48" s="1"/>
  <c r="E42" i="4"/>
  <c r="F42" i="48" s="1"/>
  <c r="F42" i="4"/>
  <c r="G42" i="4"/>
  <c r="H42" i="48" s="1"/>
  <c r="H42" i="4"/>
  <c r="I42" i="4"/>
  <c r="J42" i="4"/>
  <c r="K42" i="4"/>
  <c r="L42" i="48" s="1"/>
  <c r="L42" i="4"/>
  <c r="M42" i="4"/>
  <c r="N42" i="4"/>
  <c r="O42" i="48" s="1"/>
  <c r="O42" i="4"/>
  <c r="P42" i="48" s="1"/>
  <c r="Q42" i="4"/>
  <c r="R42" i="4"/>
  <c r="S42" i="48" s="1"/>
  <c r="S42" i="4"/>
  <c r="T42" i="4"/>
  <c r="U42" i="48" s="1"/>
  <c r="U42" i="4"/>
  <c r="V42" i="4"/>
  <c r="W42" i="4"/>
  <c r="X42" i="4"/>
  <c r="Y42" i="4"/>
  <c r="Z42" i="4"/>
  <c r="AA42" i="4"/>
  <c r="AB42" i="48" s="1"/>
  <c r="AB42" i="4"/>
  <c r="AC42" i="4"/>
  <c r="AD42" i="4"/>
  <c r="AE42" i="48" s="1"/>
  <c r="AE42" i="4"/>
  <c r="AF42" i="48" s="1"/>
  <c r="AF42" i="4"/>
  <c r="AG42" i="4"/>
  <c r="AH42" i="4"/>
  <c r="E43" i="4"/>
  <c r="F43" i="4"/>
  <c r="G43" i="48" s="1"/>
  <c r="G43" i="4"/>
  <c r="H43" i="4"/>
  <c r="I43" i="48" s="1"/>
  <c r="I43" i="4"/>
  <c r="J43" i="48" s="1"/>
  <c r="J43" i="4"/>
  <c r="K43" i="4"/>
  <c r="L43" i="4"/>
  <c r="M43" i="48" s="1"/>
  <c r="M43" i="4"/>
  <c r="N43" i="4"/>
  <c r="O43" i="4"/>
  <c r="Q43" i="4"/>
  <c r="R43" i="4"/>
  <c r="S43" i="4"/>
  <c r="T43" i="48" s="1"/>
  <c r="T43" i="4"/>
  <c r="U43" i="48" s="1"/>
  <c r="U43" i="4"/>
  <c r="V43" i="4"/>
  <c r="W43" i="4"/>
  <c r="X43" i="4"/>
  <c r="Y43" i="48" s="1"/>
  <c r="Y43" i="4"/>
  <c r="Z43" i="4"/>
  <c r="AA43" i="4"/>
  <c r="AB43" i="48" s="1"/>
  <c r="AB43" i="4"/>
  <c r="AC43" i="4"/>
  <c r="AD43" i="48" s="1"/>
  <c r="AD43" i="4"/>
  <c r="AE43" i="4"/>
  <c r="AF43" i="4"/>
  <c r="AG43" i="48" s="1"/>
  <c r="AG43" i="4"/>
  <c r="AH43" i="4"/>
  <c r="E44" i="4"/>
  <c r="F44" i="4"/>
  <c r="G44" i="4"/>
  <c r="H44" i="4"/>
  <c r="I44" i="48" s="1"/>
  <c r="I44" i="4"/>
  <c r="J44" i="48" s="1"/>
  <c r="J44" i="4"/>
  <c r="K44" i="48" s="1"/>
  <c r="K44" i="4"/>
  <c r="L44" i="4"/>
  <c r="M44" i="4"/>
  <c r="N44" i="48" s="1"/>
  <c r="N44" i="4"/>
  <c r="O44" i="48" s="1"/>
  <c r="O44" i="4"/>
  <c r="P44" i="4"/>
  <c r="Q44" i="4"/>
  <c r="R44" i="4"/>
  <c r="S44" i="4"/>
  <c r="T44" i="4"/>
  <c r="U44" i="48" s="1"/>
  <c r="U44" i="4"/>
  <c r="V44" i="48" s="1"/>
  <c r="V44" i="4"/>
  <c r="W44" i="48" s="1"/>
  <c r="W44" i="4"/>
  <c r="X44" i="4"/>
  <c r="Y44" i="4"/>
  <c r="Z44" i="48" s="1"/>
  <c r="Z44" i="4"/>
  <c r="AA44" i="4"/>
  <c r="AB44" i="4"/>
  <c r="AC44" i="4"/>
  <c r="AD44" i="4"/>
  <c r="AE44" i="48" s="1"/>
  <c r="AE44" i="4"/>
  <c r="AF44" i="4"/>
  <c r="AG44" i="48" s="1"/>
  <c r="AG44" i="4"/>
  <c r="AH44" i="4"/>
  <c r="AI44" i="48" s="1"/>
  <c r="E45" i="4"/>
  <c r="F45" i="4"/>
  <c r="G45" i="48" s="1"/>
  <c r="G45" i="4"/>
  <c r="H45" i="4"/>
  <c r="I45" i="48" s="1"/>
  <c r="I45" i="4"/>
  <c r="J45" i="4"/>
  <c r="K45" i="4"/>
  <c r="L45" i="4"/>
  <c r="M45" i="4"/>
  <c r="N45" i="4"/>
  <c r="O45" i="4"/>
  <c r="P45" i="4"/>
  <c r="Q45" i="48" s="1"/>
  <c r="Q45" i="4"/>
  <c r="R45" i="4"/>
  <c r="S45" i="4"/>
  <c r="T45" i="48" s="1"/>
  <c r="T45" i="4"/>
  <c r="U45" i="48" s="1"/>
  <c r="U45" i="4"/>
  <c r="V45" i="4"/>
  <c r="W45" i="4"/>
  <c r="X45" i="4"/>
  <c r="Y45" i="4"/>
  <c r="Z45" i="48" s="1"/>
  <c r="Z45" i="4"/>
  <c r="AA45" i="4"/>
  <c r="AB45" i="4"/>
  <c r="AC45" i="4"/>
  <c r="AD45" i="48" s="1"/>
  <c r="AD45" i="4"/>
  <c r="AE45" i="4"/>
  <c r="AF45" i="48" s="1"/>
  <c r="AF45" i="4"/>
  <c r="AG45" i="4"/>
  <c r="AH45" i="4"/>
  <c r="AI45" i="48" s="1"/>
  <c r="E46" i="4"/>
  <c r="F46" i="4"/>
  <c r="G46" i="4"/>
  <c r="H46" i="4"/>
  <c r="I46" i="4"/>
  <c r="J46" i="4"/>
  <c r="K46" i="48" s="1"/>
  <c r="K46" i="4"/>
  <c r="L46" i="48" s="1"/>
  <c r="L46" i="4"/>
  <c r="M46" i="48" s="1"/>
  <c r="M46" i="4"/>
  <c r="N46" i="4"/>
  <c r="O46" i="4"/>
  <c r="P46" i="4"/>
  <c r="Q46" i="4"/>
  <c r="R46" i="48" s="1"/>
  <c r="R46" i="4"/>
  <c r="S46" i="4"/>
  <c r="T46" i="4"/>
  <c r="U46" i="4"/>
  <c r="V46" i="48" s="1"/>
  <c r="V46" i="4"/>
  <c r="W46" i="48" s="1"/>
  <c r="W46" i="4"/>
  <c r="X46" i="4"/>
  <c r="Y46" i="4"/>
  <c r="Z46" i="4"/>
  <c r="AA46" i="48" s="1"/>
  <c r="AA46" i="4"/>
  <c r="AB46" i="4"/>
  <c r="AC46" i="4"/>
  <c r="AD46" i="48" s="1"/>
  <c r="AD46" i="4"/>
  <c r="AE46" i="4"/>
  <c r="AF46" i="4"/>
  <c r="AG46" i="4"/>
  <c r="AH46" i="4"/>
  <c r="E47" i="4"/>
  <c r="F47" i="4"/>
  <c r="G47" i="4"/>
  <c r="H47" i="4"/>
  <c r="I47" i="48" s="1"/>
  <c r="I47" i="4"/>
  <c r="J47" i="4"/>
  <c r="K47" i="4"/>
  <c r="L47" i="4"/>
  <c r="M47" i="4"/>
  <c r="N47" i="4"/>
  <c r="O47" i="4"/>
  <c r="P47" i="48" s="1"/>
  <c r="P47" i="4"/>
  <c r="Q47" i="48" s="1"/>
  <c r="Q47" i="4"/>
  <c r="R47" i="4"/>
  <c r="S47" i="4"/>
  <c r="T47" i="4"/>
  <c r="U47" i="4"/>
  <c r="V47" i="48" s="1"/>
  <c r="V47" i="4"/>
  <c r="W47" i="4"/>
  <c r="X47" i="48" s="1"/>
  <c r="X47" i="4"/>
  <c r="Y47" i="4"/>
  <c r="Z47" i="48" s="1"/>
  <c r="Z47" i="4"/>
  <c r="AA47" i="48" s="1"/>
  <c r="AA47" i="4"/>
  <c r="AB47" i="4"/>
  <c r="AC47" i="4"/>
  <c r="AD47" i="4"/>
  <c r="AE47" i="4"/>
  <c r="AF47" i="4"/>
  <c r="AG47" i="48" s="1"/>
  <c r="AG47" i="4"/>
  <c r="AH47" i="4"/>
  <c r="AI47" i="48" s="1"/>
  <c r="E48" i="4"/>
  <c r="F48" i="4"/>
  <c r="G48" i="48" s="1"/>
  <c r="G48" i="4"/>
  <c r="H48" i="4"/>
  <c r="I48" i="4"/>
  <c r="J48" i="4"/>
  <c r="K48" i="4"/>
  <c r="L48" i="4"/>
  <c r="M48" i="4"/>
  <c r="N48" i="48" s="1"/>
  <c r="N48" i="4"/>
  <c r="O48" i="4"/>
  <c r="P48" i="4"/>
  <c r="Q48" i="4"/>
  <c r="R48" i="48" s="1"/>
  <c r="R48" i="4"/>
  <c r="S48" i="48" s="1"/>
  <c r="S48" i="4"/>
  <c r="T48" i="48" s="1"/>
  <c r="T48" i="4"/>
  <c r="U48" i="4"/>
  <c r="V48" i="4"/>
  <c r="W48" i="4"/>
  <c r="X48" i="4"/>
  <c r="Y48" i="4"/>
  <c r="Z48" i="48" s="1"/>
  <c r="Z48" i="4"/>
  <c r="AA48" i="48" s="1"/>
  <c r="AA48" i="4"/>
  <c r="AB48" i="4"/>
  <c r="AC48" i="48" s="1"/>
  <c r="AC48" i="4"/>
  <c r="AD48" i="4"/>
  <c r="AE48" i="48" s="1"/>
  <c r="AE48" i="4"/>
  <c r="AF48" i="4"/>
  <c r="AG48" i="48" s="1"/>
  <c r="AG48" i="4"/>
  <c r="AH48" i="4"/>
  <c r="E49" i="4"/>
  <c r="F49" i="4"/>
  <c r="G49" i="48" s="1"/>
  <c r="G49" i="4"/>
  <c r="H49" i="4"/>
  <c r="I49" i="4"/>
  <c r="J49" i="4"/>
  <c r="K49" i="48" s="1"/>
  <c r="K49" i="4"/>
  <c r="L49" i="48" s="1"/>
  <c r="L49" i="4"/>
  <c r="M49" i="48" s="1"/>
  <c r="M49" i="4"/>
  <c r="N49" i="48" s="1"/>
  <c r="N49" i="4"/>
  <c r="O49" i="4"/>
  <c r="P49" i="4"/>
  <c r="Q49" i="48" s="1"/>
  <c r="Q49" i="4"/>
  <c r="R49" i="4"/>
  <c r="S49" i="4"/>
  <c r="T49" i="4"/>
  <c r="U49" i="48" s="1"/>
  <c r="U49" i="4"/>
  <c r="V49" i="4"/>
  <c r="W49" i="4"/>
  <c r="X49" i="4"/>
  <c r="Y49" i="4"/>
  <c r="Z49" i="4"/>
  <c r="AA49" i="48" s="1"/>
  <c r="AA49" i="4"/>
  <c r="AB49" i="4"/>
  <c r="AC49" i="48" s="1"/>
  <c r="AC49" i="4"/>
  <c r="AD49" i="4"/>
  <c r="AE49" i="4"/>
  <c r="AF49" i="4"/>
  <c r="AG49" i="4"/>
  <c r="AH49" i="48" s="1"/>
  <c r="AH49" i="4"/>
  <c r="E50" i="4"/>
  <c r="F50" i="48" s="1"/>
  <c r="F50" i="4"/>
  <c r="G50" i="4"/>
  <c r="H50" i="4"/>
  <c r="I50" i="4"/>
  <c r="J50" i="4"/>
  <c r="K50" i="4"/>
  <c r="L50" i="48" s="1"/>
  <c r="L50" i="4"/>
  <c r="M50" i="4"/>
  <c r="N50" i="4"/>
  <c r="O50" i="48" s="1"/>
  <c r="O50" i="4"/>
  <c r="P50" i="48" s="1"/>
  <c r="P50" i="4"/>
  <c r="Q50" i="4"/>
  <c r="R50" i="4"/>
  <c r="S50" i="4"/>
  <c r="T50" i="48" s="1"/>
  <c r="T50" i="4"/>
  <c r="U50" i="4"/>
  <c r="V50" i="48" s="1"/>
  <c r="V50" i="4"/>
  <c r="W50" i="48" s="1"/>
  <c r="W50" i="4"/>
  <c r="X50" i="4"/>
  <c r="Y50" i="48" s="1"/>
  <c r="Y50" i="4"/>
  <c r="Z50" i="4"/>
  <c r="AA50" i="4"/>
  <c r="AB50" i="4"/>
  <c r="AC50" i="48" s="1"/>
  <c r="AC50" i="4"/>
  <c r="AD50" i="48" s="1"/>
  <c r="AD50" i="4"/>
  <c r="AE50" i="48" s="1"/>
  <c r="AE50" i="4"/>
  <c r="AF50" i="4"/>
  <c r="AG50" i="4"/>
  <c r="AH50" i="48" s="1"/>
  <c r="AH50" i="4"/>
  <c r="E51" i="4"/>
  <c r="F51" i="4"/>
  <c r="G51" i="4"/>
  <c r="H51" i="4"/>
  <c r="I51" i="4"/>
  <c r="J51" i="4"/>
  <c r="K51" i="4"/>
  <c r="L51" i="4"/>
  <c r="M51" i="4"/>
  <c r="N51" i="4"/>
  <c r="O51" i="48" s="1"/>
  <c r="O51" i="4"/>
  <c r="P51" i="4"/>
  <c r="Q51" i="48" s="1"/>
  <c r="Q51" i="4"/>
  <c r="R51" i="4"/>
  <c r="S51" i="4"/>
  <c r="T51" i="48" s="1"/>
  <c r="T51" i="4"/>
  <c r="U51" i="48" s="1"/>
  <c r="U51" i="4"/>
  <c r="V51" i="4"/>
  <c r="W51" i="4"/>
  <c r="X51" i="4"/>
  <c r="Y51" i="48" s="1"/>
  <c r="Y51" i="4"/>
  <c r="Z51" i="4"/>
  <c r="AA51" i="48" s="1"/>
  <c r="AA51" i="4"/>
  <c r="AB51" i="48" s="1"/>
  <c r="AB51" i="4"/>
  <c r="AC51" i="48" s="1"/>
  <c r="AC51" i="4"/>
  <c r="AD51" i="48" s="1"/>
  <c r="AD51" i="4"/>
  <c r="AE51" i="4"/>
  <c r="AF51" i="4"/>
  <c r="AG51" i="48" s="1"/>
  <c r="AG51" i="4"/>
  <c r="AH51" i="4"/>
  <c r="E52" i="4"/>
  <c r="F52" i="4"/>
  <c r="G52" i="4"/>
  <c r="H52" i="4"/>
  <c r="I52" i="4"/>
  <c r="J52" i="48" s="1"/>
  <c r="J52" i="4"/>
  <c r="K52" i="4"/>
  <c r="L52" i="4"/>
  <c r="M52" i="4"/>
  <c r="N52" i="4"/>
  <c r="O52" i="4"/>
  <c r="P52" i="48" s="1"/>
  <c r="P52" i="4"/>
  <c r="Q52" i="4"/>
  <c r="R52" i="48" s="1"/>
  <c r="R52" i="4"/>
  <c r="S52" i="4"/>
  <c r="T52" i="4"/>
  <c r="U52" i="4"/>
  <c r="V52" i="4"/>
  <c r="W52" i="48" s="1"/>
  <c r="W52" i="4"/>
  <c r="X52" i="4"/>
  <c r="Y52" i="48" s="1"/>
  <c r="Y52" i="4"/>
  <c r="Z52" i="48" s="1"/>
  <c r="Z52" i="4"/>
  <c r="AA52" i="48" s="1"/>
  <c r="AA52" i="4"/>
  <c r="AB52" i="4"/>
  <c r="AC52" i="4"/>
  <c r="AD52" i="48" s="1"/>
  <c r="AD52" i="4"/>
  <c r="AE52" i="4"/>
  <c r="AF52" i="48" s="1"/>
  <c r="AF52" i="4"/>
  <c r="AG52" i="48" s="1"/>
  <c r="AG52" i="4"/>
  <c r="AH52" i="4"/>
  <c r="AI52" i="48" s="1"/>
  <c r="E53" i="4"/>
  <c r="F53" i="48" s="1"/>
  <c r="F53" i="4"/>
  <c r="G53" i="4"/>
  <c r="H53" i="48" s="1"/>
  <c r="H53" i="4"/>
  <c r="I53" i="4"/>
  <c r="J53" i="48" s="1"/>
  <c r="J53" i="4"/>
  <c r="K53" i="48" s="1"/>
  <c r="K53" i="4"/>
  <c r="L53" i="4"/>
  <c r="M53" i="48" s="1"/>
  <c r="M53" i="4"/>
  <c r="N53" i="48" s="1"/>
  <c r="N53" i="4"/>
  <c r="O53" i="4"/>
  <c r="P53" i="48" s="1"/>
  <c r="P53" i="4"/>
  <c r="Q53" i="4"/>
  <c r="R53" i="4"/>
  <c r="S53" i="4"/>
  <c r="T53" i="4"/>
  <c r="U53" i="48" s="1"/>
  <c r="U53" i="4"/>
  <c r="V53" i="48" s="1"/>
  <c r="V53" i="4"/>
  <c r="W53" i="4"/>
  <c r="X53" i="4"/>
  <c r="Y53" i="4"/>
  <c r="Z53" i="48" s="1"/>
  <c r="Z53" i="4"/>
  <c r="AA53" i="4"/>
  <c r="AB53" i="4"/>
  <c r="AC53" i="4"/>
  <c r="AD53" i="4"/>
  <c r="AE53" i="4"/>
  <c r="AF53" i="48" s="1"/>
  <c r="AF53" i="4"/>
  <c r="AG53" i="4"/>
  <c r="AH53" i="4"/>
  <c r="AI53" i="48" s="1"/>
  <c r="E54" i="4"/>
  <c r="F54" i="48" s="1"/>
  <c r="F54" i="4"/>
  <c r="G54" i="4"/>
  <c r="H54" i="4"/>
  <c r="I54" i="4"/>
  <c r="J54" i="48" s="1"/>
  <c r="J54" i="4"/>
  <c r="K54" i="4"/>
  <c r="L54" i="48" s="1"/>
  <c r="L54" i="4"/>
  <c r="M54" i="4"/>
  <c r="N54" i="4"/>
  <c r="O54" i="48" s="1"/>
  <c r="O54" i="4"/>
  <c r="P54" i="4"/>
  <c r="Q54" i="4"/>
  <c r="R54" i="48" s="1"/>
  <c r="R54" i="4"/>
  <c r="S54" i="4"/>
  <c r="T54" i="4"/>
  <c r="U54" i="48" s="1"/>
  <c r="U54" i="4"/>
  <c r="V54" i="4"/>
  <c r="W54" i="48" s="1"/>
  <c r="W54" i="4"/>
  <c r="X54" i="4"/>
  <c r="Y54" i="4"/>
  <c r="Z54" i="4"/>
  <c r="AA54" i="4"/>
  <c r="AB54" i="48" s="1"/>
  <c r="AB54" i="4"/>
  <c r="AC54" i="4"/>
  <c r="AD54" i="4"/>
  <c r="AE54" i="48" s="1"/>
  <c r="AE54" i="4"/>
  <c r="AF54" i="4"/>
  <c r="AG54" i="48" s="1"/>
  <c r="AG54" i="4"/>
  <c r="AH54" i="4"/>
  <c r="AI54" i="48" s="1"/>
  <c r="E55" i="4"/>
  <c r="F55" i="4"/>
  <c r="G55" i="48" s="1"/>
  <c r="G55" i="4"/>
  <c r="H55" i="4"/>
  <c r="I55" i="4"/>
  <c r="J55" i="4"/>
  <c r="K55" i="48" s="1"/>
  <c r="K55" i="4"/>
  <c r="L55" i="4"/>
  <c r="M55" i="4"/>
  <c r="N55" i="4"/>
  <c r="O55" i="4"/>
  <c r="P55" i="4"/>
  <c r="Q55" i="48" s="1"/>
  <c r="Q55" i="4"/>
  <c r="R55" i="4"/>
  <c r="S55" i="48" s="1"/>
  <c r="S55" i="4"/>
  <c r="T55" i="4"/>
  <c r="U55" i="4"/>
  <c r="V55" i="4"/>
  <c r="W55" i="4"/>
  <c r="X55" i="48" s="1"/>
  <c r="X55" i="4"/>
  <c r="Y55" i="4"/>
  <c r="Z55" i="48" s="1"/>
  <c r="Z55" i="4"/>
  <c r="AA55" i="48" s="1"/>
  <c r="AA55" i="4"/>
  <c r="AB55" i="4"/>
  <c r="AC55" i="48" s="1"/>
  <c r="AC55" i="4"/>
  <c r="AD55" i="4"/>
  <c r="AE55" i="48" s="1"/>
  <c r="AE55" i="4"/>
  <c r="AF55" i="4"/>
  <c r="AG55" i="48" s="1"/>
  <c r="AG55" i="4"/>
  <c r="AH55" i="4"/>
  <c r="E56" i="4"/>
  <c r="F56" i="4"/>
  <c r="G56" i="48" s="1"/>
  <c r="G56" i="4"/>
  <c r="H56" i="4"/>
  <c r="I56" i="48" s="1"/>
  <c r="I56" i="4"/>
  <c r="J56" i="4"/>
  <c r="K56" i="4"/>
  <c r="L56" i="4"/>
  <c r="M56" i="4"/>
  <c r="N56" i="4"/>
  <c r="O56" i="48" s="1"/>
  <c r="O56" i="4"/>
  <c r="P56" i="4"/>
  <c r="Q56" i="48" s="1"/>
  <c r="Q56" i="4"/>
  <c r="R56" i="4"/>
  <c r="S56" i="4"/>
  <c r="T56" i="4"/>
  <c r="U56" i="48" s="1"/>
  <c r="U56" i="4"/>
  <c r="V56" i="4"/>
  <c r="W56" i="4"/>
  <c r="X56" i="4"/>
  <c r="Y56" i="48" s="1"/>
  <c r="Y56" i="4"/>
  <c r="Z56" i="4"/>
  <c r="AA56" i="4"/>
  <c r="AB56" i="48" s="1"/>
  <c r="AB56" i="4"/>
  <c r="AC56" i="4"/>
  <c r="AD56" i="48" s="1"/>
  <c r="AD56" i="4"/>
  <c r="AE56" i="48" s="1"/>
  <c r="AE56" i="4"/>
  <c r="AF56" i="48" s="1"/>
  <c r="AF56" i="4"/>
  <c r="AG56" i="4"/>
  <c r="AH56" i="4"/>
  <c r="AI56" i="48" s="1"/>
  <c r="E57" i="4"/>
  <c r="F57" i="4"/>
  <c r="G57" i="4"/>
  <c r="H57" i="4"/>
  <c r="I57" i="4"/>
  <c r="J57" i="48" s="1"/>
  <c r="J57" i="4"/>
  <c r="K57" i="48" s="1"/>
  <c r="K57" i="4"/>
  <c r="L57" i="4"/>
  <c r="M57" i="4"/>
  <c r="N57" i="4"/>
  <c r="O57" i="4"/>
  <c r="P57" i="4"/>
  <c r="Q57" i="4"/>
  <c r="R57" i="4"/>
  <c r="S57" i="4"/>
  <c r="T57" i="4"/>
  <c r="U57" i="4"/>
  <c r="V57" i="48" s="1"/>
  <c r="V57" i="4"/>
  <c r="W57" i="4"/>
  <c r="X57" i="48" s="1"/>
  <c r="X57" i="4"/>
  <c r="Y57" i="4"/>
  <c r="Z57" i="4"/>
  <c r="AA57" i="4"/>
  <c r="AB57" i="4"/>
  <c r="AC57" i="4"/>
  <c r="AD57" i="4"/>
  <c r="AE57" i="4"/>
  <c r="AF57" i="48" s="1"/>
  <c r="AF57" i="4"/>
  <c r="AG57" i="4"/>
  <c r="AH57" i="4"/>
  <c r="AI57" i="48" s="1"/>
  <c r="E58" i="4"/>
  <c r="F58" i="4"/>
  <c r="G58" i="48" s="1"/>
  <c r="G58" i="4"/>
  <c r="H58" i="4"/>
  <c r="I58" i="48" s="1"/>
  <c r="I58" i="4"/>
  <c r="J58" i="48" s="1"/>
  <c r="J58" i="4"/>
  <c r="K58" i="48" s="1"/>
  <c r="K58" i="4"/>
  <c r="L58" i="48" s="1"/>
  <c r="L58" i="4"/>
  <c r="M58" i="48" s="1"/>
  <c r="M58" i="4"/>
  <c r="N58" i="48" s="1"/>
  <c r="N58" i="4"/>
  <c r="O58" i="4"/>
  <c r="P58" i="4"/>
  <c r="Q58" i="4"/>
  <c r="R58" i="48" s="1"/>
  <c r="R58" i="4"/>
  <c r="S58" i="48" s="1"/>
  <c r="S58" i="4"/>
  <c r="T58" i="4"/>
  <c r="U58" i="48" s="1"/>
  <c r="U58" i="4"/>
  <c r="V58" i="4"/>
  <c r="W58" i="48" s="1"/>
  <c r="W58" i="4"/>
  <c r="X58" i="4"/>
  <c r="Y58" i="48" s="1"/>
  <c r="Y58" i="4"/>
  <c r="Z58" i="4"/>
  <c r="AA58" i="4"/>
  <c r="AB58" i="48" s="1"/>
  <c r="AB58" i="4"/>
  <c r="AC58" i="4"/>
  <c r="AD58" i="4"/>
  <c r="AE58" i="4"/>
  <c r="AF58" i="4"/>
  <c r="AG58" i="48" s="1"/>
  <c r="AG58" i="4"/>
  <c r="AH58" i="4"/>
  <c r="E59" i="4"/>
  <c r="F59" i="48" s="1"/>
  <c r="F59" i="4"/>
  <c r="G59" i="48" s="1"/>
  <c r="G59" i="4"/>
  <c r="H59" i="4"/>
  <c r="I59" i="48" s="1"/>
  <c r="I59" i="4"/>
  <c r="J59" i="4"/>
  <c r="K59" i="4"/>
  <c r="L59" i="48" s="1"/>
  <c r="L59" i="4"/>
  <c r="M59" i="4"/>
  <c r="N59" i="4"/>
  <c r="O59" i="48" s="1"/>
  <c r="O59" i="4"/>
  <c r="P59" i="4"/>
  <c r="Q59" i="4"/>
  <c r="R59" i="4"/>
  <c r="S59" i="4"/>
  <c r="T59" i="48" s="1"/>
  <c r="T59" i="4"/>
  <c r="U59" i="48" s="1"/>
  <c r="U59" i="4"/>
  <c r="V59" i="48" s="1"/>
  <c r="V59" i="4"/>
  <c r="W59" i="48" s="1"/>
  <c r="W59" i="4"/>
  <c r="X59" i="4"/>
  <c r="Y59" i="4"/>
  <c r="Z59" i="48" s="1"/>
  <c r="Z59" i="4"/>
  <c r="AA59" i="4"/>
  <c r="AB59" i="4"/>
  <c r="AC59" i="4"/>
  <c r="AD59" i="4"/>
  <c r="AE59" i="4"/>
  <c r="AF59" i="4"/>
  <c r="AG59" i="4"/>
  <c r="AH59" i="48" s="1"/>
  <c r="AH59" i="4"/>
  <c r="E60" i="4"/>
  <c r="F60" i="4"/>
  <c r="G60" i="48" s="1"/>
  <c r="G60" i="4"/>
  <c r="H60" i="4"/>
  <c r="I60" i="4"/>
  <c r="J60" i="4"/>
  <c r="K60" i="4"/>
  <c r="L60" i="4"/>
  <c r="M60" i="48" s="1"/>
  <c r="M60" i="4"/>
  <c r="N60" i="4"/>
  <c r="O60" i="4"/>
  <c r="P60" i="4"/>
  <c r="Q60" i="48" s="1"/>
  <c r="Q60" i="4"/>
  <c r="R60" i="4"/>
  <c r="S60" i="48" s="1"/>
  <c r="S60" i="4"/>
  <c r="T60" i="4"/>
  <c r="U60" i="4"/>
  <c r="V60" i="48" s="1"/>
  <c r="V60" i="4"/>
  <c r="W60" i="4"/>
  <c r="X60" i="4"/>
  <c r="Y60" i="4"/>
  <c r="Z60" i="4"/>
  <c r="AA60" i="4"/>
  <c r="AB60" i="4"/>
  <c r="AC60" i="4"/>
  <c r="AD60" i="4"/>
  <c r="AE60" i="4"/>
  <c r="AF60" i="4"/>
  <c r="AG60" i="4"/>
  <c r="AH60" i="4"/>
  <c r="AI60" i="48" s="1"/>
  <c r="F5" i="48"/>
  <c r="G5" i="48"/>
  <c r="K5" i="48"/>
  <c r="R5" i="48"/>
  <c r="S5" i="48"/>
  <c r="T5" i="48"/>
  <c r="V5" i="48"/>
  <c r="W5" i="48"/>
  <c r="X5" i="48"/>
  <c r="Y5" i="48"/>
  <c r="AF5" i="48"/>
  <c r="AH5" i="48"/>
  <c r="AI5" i="48"/>
  <c r="E6" i="4"/>
  <c r="F6" i="48" s="1"/>
  <c r="F6" i="4"/>
  <c r="G6" i="4"/>
  <c r="H6" i="4"/>
  <c r="I6" i="4"/>
  <c r="J6" i="4"/>
  <c r="K6" i="48" s="1"/>
  <c r="K6" i="4"/>
  <c r="L6" i="4"/>
  <c r="M6" i="4"/>
  <c r="N6" i="4"/>
  <c r="O6" i="4"/>
  <c r="P6" i="48" s="1"/>
  <c r="P6" i="4"/>
  <c r="Q6" i="4"/>
  <c r="R6" i="4"/>
  <c r="S6" i="48" s="1"/>
  <c r="S6" i="4"/>
  <c r="T6" i="4"/>
  <c r="U6" i="48" s="1"/>
  <c r="U6" i="4"/>
  <c r="V6" i="4"/>
  <c r="W6" i="4"/>
  <c r="X6" i="4"/>
  <c r="Y6" i="48" s="1"/>
  <c r="Y6" i="4"/>
  <c r="Z6" i="4"/>
  <c r="AA6" i="48" s="1"/>
  <c r="AA6" i="4"/>
  <c r="AB6" i="4"/>
  <c r="AC6" i="4"/>
  <c r="AD6" i="4"/>
  <c r="AE6" i="4"/>
  <c r="AF6" i="4"/>
  <c r="AG6" i="48" s="1"/>
  <c r="AG6" i="4"/>
  <c r="AH6" i="48" s="1"/>
  <c r="AH6" i="4"/>
  <c r="AI6" i="48" s="1"/>
  <c r="E7" i="4"/>
  <c r="F7" i="48" s="1"/>
  <c r="F7" i="4"/>
  <c r="G7" i="4"/>
  <c r="H7" i="4"/>
  <c r="I7" i="4"/>
  <c r="J7" i="4"/>
  <c r="K7" i="48" s="1"/>
  <c r="K7" i="4"/>
  <c r="L7" i="4"/>
  <c r="M7" i="4"/>
  <c r="N7" i="48" s="1"/>
  <c r="N7" i="4"/>
  <c r="O7" i="48" s="1"/>
  <c r="O7" i="4"/>
  <c r="P7" i="48" s="1"/>
  <c r="P7" i="4"/>
  <c r="Q7" i="4"/>
  <c r="R7" i="4"/>
  <c r="S7" i="4"/>
  <c r="T7" i="48" s="1"/>
  <c r="T7" i="4"/>
  <c r="U7" i="4"/>
  <c r="V7" i="48" s="1"/>
  <c r="V7" i="4"/>
  <c r="W7" i="48" s="1"/>
  <c r="W7" i="4"/>
  <c r="X7" i="4"/>
  <c r="Y7" i="4"/>
  <c r="Z7" i="48" s="1"/>
  <c r="Z7" i="4"/>
  <c r="AA7" i="48" s="1"/>
  <c r="AA7" i="4"/>
  <c r="AB7" i="48" s="1"/>
  <c r="AB7" i="4"/>
  <c r="AC7" i="4"/>
  <c r="AD7" i="48" s="1"/>
  <c r="AD7" i="4"/>
  <c r="AE7" i="4"/>
  <c r="AF7" i="4"/>
  <c r="AG7" i="4"/>
  <c r="AH7" i="4"/>
  <c r="AI7" i="48" s="1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8" s="1"/>
  <c r="S8" i="4"/>
  <c r="T8" i="48" s="1"/>
  <c r="T8" i="4"/>
  <c r="U8" i="4"/>
  <c r="V8" i="4"/>
  <c r="W8" i="48" s="1"/>
  <c r="W8" i="4"/>
  <c r="X8" i="48" s="1"/>
  <c r="X8" i="4"/>
  <c r="Y8" i="4"/>
  <c r="Z8" i="4"/>
  <c r="AA8" i="48" s="1"/>
  <c r="AA8" i="4"/>
  <c r="AB8" i="4"/>
  <c r="AC8" i="4"/>
  <c r="AD8" i="4"/>
  <c r="AE8" i="4"/>
  <c r="AF8" i="4"/>
  <c r="AG8" i="4"/>
  <c r="AH8" i="4"/>
  <c r="AI8" i="48" s="1"/>
  <c r="E9" i="4"/>
  <c r="F9" i="4"/>
  <c r="G9" i="4"/>
  <c r="H9" i="4"/>
  <c r="I9" i="4"/>
  <c r="J9" i="4"/>
  <c r="K9" i="4"/>
  <c r="L9" i="4"/>
  <c r="M9" i="4"/>
  <c r="N9" i="4"/>
  <c r="O9" i="48" s="1"/>
  <c r="O9" i="4"/>
  <c r="P9" i="4"/>
  <c r="Q9" i="4"/>
  <c r="R9" i="4"/>
  <c r="S9" i="4"/>
  <c r="T9" i="4"/>
  <c r="U9" i="4"/>
  <c r="V9" i="4"/>
  <c r="W9" i="4"/>
  <c r="X9" i="48" s="1"/>
  <c r="X9" i="4"/>
  <c r="Y9" i="4"/>
  <c r="Z9" i="48" s="1"/>
  <c r="Z9" i="4"/>
  <c r="AA9" i="4"/>
  <c r="AB9" i="4"/>
  <c r="AC9" i="48" s="1"/>
  <c r="AC9" i="4"/>
  <c r="AD9" i="4"/>
  <c r="AE9" i="4"/>
  <c r="AF9" i="4"/>
  <c r="AG9" i="4"/>
  <c r="AH9" i="4"/>
  <c r="E10" i="4"/>
  <c r="F10" i="4"/>
  <c r="G10" i="4"/>
  <c r="H10" i="48" s="1"/>
  <c r="H10" i="4"/>
  <c r="I10" i="4"/>
  <c r="J10" i="4"/>
  <c r="K10" i="4"/>
  <c r="L10" i="4"/>
  <c r="M10" i="4"/>
  <c r="N10" i="4"/>
  <c r="O10" i="4"/>
  <c r="P10" i="48" s="1"/>
  <c r="P10" i="4"/>
  <c r="Q10" i="48" s="1"/>
  <c r="Q10" i="4"/>
  <c r="R10" i="48" s="1"/>
  <c r="R10" i="4"/>
  <c r="S10" i="4"/>
  <c r="T10" i="4"/>
  <c r="U10" i="4"/>
  <c r="V10" i="48" s="1"/>
  <c r="V10" i="4"/>
  <c r="W10" i="48" s="1"/>
  <c r="W10" i="4"/>
  <c r="X10" i="4"/>
  <c r="Y10" i="4"/>
  <c r="Z10" i="48" s="1"/>
  <c r="Z10" i="4"/>
  <c r="AA10" i="48" s="1"/>
  <c r="AA10" i="4"/>
  <c r="AB10" i="48" s="1"/>
  <c r="AB10" i="4"/>
  <c r="AC10" i="4"/>
  <c r="AD10" i="4"/>
  <c r="AE10" i="4"/>
  <c r="AF10" i="4"/>
  <c r="AG10" i="4"/>
  <c r="AH10" i="48" s="1"/>
  <c r="AH10" i="4"/>
  <c r="E11" i="4"/>
  <c r="F11" i="4"/>
  <c r="G11" i="4"/>
  <c r="H11" i="4"/>
  <c r="I11" i="4"/>
  <c r="J11" i="4"/>
  <c r="K11" i="4"/>
  <c r="L11" i="4"/>
  <c r="M11" i="4"/>
  <c r="N11" i="4"/>
  <c r="O11" i="4"/>
  <c r="P11" i="48" s="1"/>
  <c r="P11" i="4"/>
  <c r="Q11" i="4"/>
  <c r="R11" i="4"/>
  <c r="S11" i="48" s="1"/>
  <c r="S11" i="4"/>
  <c r="T11" i="4"/>
  <c r="U11" i="4"/>
  <c r="V11" i="4"/>
  <c r="W11" i="4"/>
  <c r="X11" i="48" s="1"/>
  <c r="X11" i="4"/>
  <c r="Y11" i="48" s="1"/>
  <c r="Y11" i="4"/>
  <c r="Z11" i="4"/>
  <c r="AA11" i="4"/>
  <c r="AB11" i="48" s="1"/>
  <c r="AB11" i="4"/>
  <c r="AC11" i="48" s="1"/>
  <c r="AC11" i="4"/>
  <c r="AD11" i="4"/>
  <c r="AE11" i="4"/>
  <c r="AF11" i="48" s="1"/>
  <c r="AF11" i="4"/>
  <c r="AG11" i="4"/>
  <c r="AH11" i="4"/>
  <c r="E12" i="4"/>
  <c r="F12" i="4"/>
  <c r="G12" i="48" s="1"/>
  <c r="G12" i="4"/>
  <c r="H12" i="4"/>
  <c r="I12" i="4"/>
  <c r="J12" i="48" s="1"/>
  <c r="J12" i="4"/>
  <c r="K12" i="4"/>
  <c r="L12" i="4"/>
  <c r="M12" i="48" s="1"/>
  <c r="M12" i="4"/>
  <c r="N12" i="4"/>
  <c r="O12" i="4"/>
  <c r="P12" i="48" s="1"/>
  <c r="P12" i="4"/>
  <c r="Q12" i="4"/>
  <c r="R12" i="4"/>
  <c r="S12" i="48" s="1"/>
  <c r="S12" i="4"/>
  <c r="T12" i="4"/>
  <c r="U12" i="4"/>
  <c r="V12" i="4"/>
  <c r="W12" i="4"/>
  <c r="X12" i="4"/>
  <c r="Y12" i="4"/>
  <c r="Z12" i="4"/>
  <c r="AA12" i="4"/>
  <c r="AB12" i="48" s="1"/>
  <c r="AB12" i="4"/>
  <c r="AC12" i="4"/>
  <c r="AD12" i="4"/>
  <c r="AE12" i="4"/>
  <c r="AF12" i="48" s="1"/>
  <c r="AF12" i="4"/>
  <c r="AG12" i="4"/>
  <c r="AH12" i="4"/>
  <c r="E13" i="4"/>
  <c r="F13" i="4"/>
  <c r="G13" i="4"/>
  <c r="H13" i="4"/>
  <c r="I13" i="4"/>
  <c r="J13" i="4"/>
  <c r="K13" i="4"/>
  <c r="L13" i="4"/>
  <c r="M13" i="4"/>
  <c r="N13" i="4"/>
  <c r="O13" i="4"/>
  <c r="P13" i="48" s="1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8" s="1"/>
  <c r="AE13" i="4"/>
  <c r="AF13" i="4"/>
  <c r="AG13" i="48" s="1"/>
  <c r="AG13" i="4"/>
  <c r="AH13" i="48" s="1"/>
  <c r="AH13" i="4"/>
  <c r="AI13" i="48" s="1"/>
  <c r="E14" i="4"/>
  <c r="F14" i="4"/>
  <c r="G14" i="4"/>
  <c r="H14" i="4"/>
  <c r="I14" i="48" s="1"/>
  <c r="I14" i="4"/>
  <c r="J14" i="4"/>
  <c r="K14" i="4"/>
  <c r="L14" i="4"/>
  <c r="M14" i="4"/>
  <c r="N14" i="48" s="1"/>
  <c r="N14" i="4"/>
  <c r="O14" i="4"/>
  <c r="P14" i="48" s="1"/>
  <c r="P14" i="4"/>
  <c r="Q14" i="4"/>
  <c r="R14" i="48" s="1"/>
  <c r="R14" i="4"/>
  <c r="S14" i="4"/>
  <c r="T14" i="4"/>
  <c r="U14" i="4"/>
  <c r="V14" i="48" s="1"/>
  <c r="V14" i="4"/>
  <c r="W14" i="4"/>
  <c r="X14" i="4"/>
  <c r="Y14" i="4"/>
  <c r="Z14" i="4"/>
  <c r="AA14" i="4"/>
  <c r="AB14" i="48" s="1"/>
  <c r="AB14" i="4"/>
  <c r="AC14" i="4"/>
  <c r="AD14" i="4"/>
  <c r="AE14" i="4"/>
  <c r="AF14" i="4"/>
  <c r="AG14" i="4"/>
  <c r="AH14" i="4"/>
  <c r="E15" i="4"/>
  <c r="F15" i="4"/>
  <c r="G15" i="4"/>
  <c r="H15" i="48" s="1"/>
  <c r="H15" i="4"/>
  <c r="I15" i="4"/>
  <c r="J15" i="4"/>
  <c r="K15" i="4"/>
  <c r="L15" i="4"/>
  <c r="M15" i="48" s="1"/>
  <c r="M15" i="4"/>
  <c r="N15" i="48" s="1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8" s="1"/>
  <c r="AA15" i="4"/>
  <c r="AB15" i="4"/>
  <c r="AC15" i="4"/>
  <c r="AD15" i="4"/>
  <c r="AE15" i="4"/>
  <c r="AF15" i="4"/>
  <c r="AG15" i="48" s="1"/>
  <c r="AG15" i="4"/>
  <c r="AH15" i="48" s="1"/>
  <c r="AH15" i="4"/>
  <c r="AI15" i="48" s="1"/>
  <c r="E16" i="4"/>
  <c r="F16" i="4"/>
  <c r="G16" i="4"/>
  <c r="H16" i="4"/>
  <c r="I16" i="48" s="1"/>
  <c r="I16" i="4"/>
  <c r="J16" i="4"/>
  <c r="K16" i="4"/>
  <c r="L16" i="4"/>
  <c r="M16" i="4"/>
  <c r="N16" i="4"/>
  <c r="O16" i="4"/>
  <c r="P16" i="4"/>
  <c r="Q16" i="48" s="1"/>
  <c r="Q16" i="4"/>
  <c r="R16" i="4"/>
  <c r="S16" i="4"/>
  <c r="T16" i="48" s="1"/>
  <c r="T16" i="4"/>
  <c r="U16" i="4"/>
  <c r="V16" i="4"/>
  <c r="W16" i="48" s="1"/>
  <c r="W16" i="4"/>
  <c r="X16" i="48" s="1"/>
  <c r="X16" i="4"/>
  <c r="Y16" i="48" s="1"/>
  <c r="Y16" i="4"/>
  <c r="Z16" i="4"/>
  <c r="AA16" i="4"/>
  <c r="AB16" i="4"/>
  <c r="AC16" i="48" s="1"/>
  <c r="AC16" i="4"/>
  <c r="AD16" i="4"/>
  <c r="AE16" i="4"/>
  <c r="AF16" i="4"/>
  <c r="AG16" i="48" s="1"/>
  <c r="AG16" i="4"/>
  <c r="AH16" i="4"/>
  <c r="E17" i="4"/>
  <c r="F17" i="4"/>
  <c r="G17" i="4"/>
  <c r="H17" i="4"/>
  <c r="I17" i="4"/>
  <c r="J17" i="4"/>
  <c r="K17" i="4"/>
  <c r="L17" i="4"/>
  <c r="M17" i="48" s="1"/>
  <c r="M17" i="4"/>
  <c r="N17" i="4"/>
  <c r="O17" i="48" s="1"/>
  <c r="O17" i="4"/>
  <c r="P17" i="4"/>
  <c r="Q17" i="4"/>
  <c r="R17" i="48" s="1"/>
  <c r="R17" i="4"/>
  <c r="S17" i="4"/>
  <c r="T17" i="4"/>
  <c r="U17" i="4"/>
  <c r="V17" i="4"/>
  <c r="W17" i="4"/>
  <c r="X17" i="48" s="1"/>
  <c r="X17" i="4"/>
  <c r="Y17" i="48" s="1"/>
  <c r="Y17" i="4"/>
  <c r="Z17" i="4"/>
  <c r="AA17" i="48" s="1"/>
  <c r="AA17" i="4"/>
  <c r="AB17" i="4"/>
  <c r="AC17" i="4"/>
  <c r="AD17" i="4"/>
  <c r="AE17" i="48" s="1"/>
  <c r="AE17" i="4"/>
  <c r="AF17" i="4"/>
  <c r="AG17" i="4"/>
  <c r="AH17" i="48" s="1"/>
  <c r="AH17" i="4"/>
  <c r="AI17" i="48" s="1"/>
  <c r="E18" i="4"/>
  <c r="F18" i="4"/>
  <c r="G18" i="4"/>
  <c r="H18" i="48" s="1"/>
  <c r="H18" i="4"/>
  <c r="I18" i="48" s="1"/>
  <c r="I18" i="4"/>
  <c r="J18" i="48" s="1"/>
  <c r="J18" i="4"/>
  <c r="K18" i="4"/>
  <c r="L18" i="48" s="1"/>
  <c r="L18" i="4"/>
  <c r="M18" i="4"/>
  <c r="N18" i="4"/>
  <c r="O18" i="4"/>
  <c r="P18" i="4"/>
  <c r="Q18" i="4"/>
  <c r="R18" i="4"/>
  <c r="S18" i="4"/>
  <c r="T18" i="48" s="1"/>
  <c r="T18" i="4"/>
  <c r="U18" i="4"/>
  <c r="V18" i="4"/>
  <c r="W18" i="4"/>
  <c r="X18" i="4"/>
  <c r="Y18" i="4"/>
  <c r="Z18" i="48" s="1"/>
  <c r="Z18" i="4"/>
  <c r="AA18" i="4"/>
  <c r="AB18" i="4"/>
  <c r="AC18" i="48" s="1"/>
  <c r="AC18" i="4"/>
  <c r="AD18" i="4"/>
  <c r="AE18" i="48" s="1"/>
  <c r="AE18" i="4"/>
  <c r="AF18" i="48" s="1"/>
  <c r="AF18" i="4"/>
  <c r="AG18" i="4"/>
  <c r="AH18" i="48" s="1"/>
  <c r="AH18" i="4"/>
  <c r="AI18" i="48" s="1"/>
  <c r="E19" i="4"/>
  <c r="F19" i="4"/>
  <c r="G19" i="48" s="1"/>
  <c r="G19" i="4"/>
  <c r="H19" i="4"/>
  <c r="I19" i="4"/>
  <c r="J19" i="48" s="1"/>
  <c r="J19" i="4"/>
  <c r="K19" i="4"/>
  <c r="L19" i="4"/>
  <c r="M19" i="4"/>
  <c r="N19" i="4"/>
  <c r="O19" i="4"/>
  <c r="P19" i="4"/>
  <c r="Q19" i="4"/>
  <c r="R19" i="48" s="1"/>
  <c r="R19" i="4"/>
  <c r="S19" i="48" s="1"/>
  <c r="S19" i="4"/>
  <c r="T19" i="4"/>
  <c r="U19" i="4"/>
  <c r="V19" i="48" s="1"/>
  <c r="V19" i="4"/>
  <c r="W19" i="4"/>
  <c r="X19" i="4"/>
  <c r="Y19" i="4"/>
  <c r="Z19" i="4"/>
  <c r="AA19" i="48" s="1"/>
  <c r="AA19" i="4"/>
  <c r="AB19" i="4"/>
  <c r="AC19" i="4"/>
  <c r="AD19" i="48" s="1"/>
  <c r="AD19" i="4"/>
  <c r="AE19" i="4"/>
  <c r="AF19" i="4"/>
  <c r="AG19" i="48" s="1"/>
  <c r="AG19" i="4"/>
  <c r="AH19" i="4"/>
  <c r="E20" i="4"/>
  <c r="F20" i="4"/>
  <c r="G20" i="4"/>
  <c r="H20" i="4"/>
  <c r="I20" i="4"/>
  <c r="J20" i="4"/>
  <c r="K20" i="4"/>
  <c r="L20" i="48" s="1"/>
  <c r="L20" i="4"/>
  <c r="M20" i="4"/>
  <c r="N20" i="4"/>
  <c r="O20" i="48" s="1"/>
  <c r="O20" i="4"/>
  <c r="P20" i="48" s="1"/>
  <c r="P20" i="4"/>
  <c r="Q20" i="48" s="1"/>
  <c r="Q20" i="4"/>
  <c r="R20" i="4"/>
  <c r="S20" i="4"/>
  <c r="T20" i="4"/>
  <c r="U20" i="48" s="1"/>
  <c r="U20" i="4"/>
  <c r="V20" i="4"/>
  <c r="W20" i="4"/>
  <c r="X20" i="48" s="1"/>
  <c r="X20" i="4"/>
  <c r="Y20" i="48" s="1"/>
  <c r="Y20" i="4"/>
  <c r="Z20" i="4"/>
  <c r="AA20" i="48" s="1"/>
  <c r="AA20" i="4"/>
  <c r="AB20" i="4"/>
  <c r="AC20" i="4"/>
  <c r="AD20" i="4"/>
  <c r="AE20" i="48" s="1"/>
  <c r="AE20" i="4"/>
  <c r="AF20" i="4"/>
  <c r="AG20" i="4"/>
  <c r="AH20" i="4"/>
  <c r="E21" i="4"/>
  <c r="F21" i="4"/>
  <c r="G21" i="4"/>
  <c r="H21" i="48" s="1"/>
  <c r="H21" i="4"/>
  <c r="I21" i="4"/>
  <c r="J21" i="48" s="1"/>
  <c r="J21" i="4"/>
  <c r="K21" i="4"/>
  <c r="L21" i="4"/>
  <c r="M21" i="48" s="1"/>
  <c r="M21" i="4"/>
  <c r="N21" i="4"/>
  <c r="O21" i="4"/>
  <c r="P21" i="4"/>
  <c r="Q21" i="48" s="1"/>
  <c r="Q21" i="4"/>
  <c r="R21" i="48" s="1"/>
  <c r="R21" i="4"/>
  <c r="S21" i="4"/>
  <c r="T21" i="4"/>
  <c r="U21" i="4"/>
  <c r="V21" i="4"/>
  <c r="W21" i="48" s="1"/>
  <c r="W21" i="4"/>
  <c r="X21" i="4"/>
  <c r="Y21" i="48" s="1"/>
  <c r="Y21" i="4"/>
  <c r="Z21" i="48" s="1"/>
  <c r="Z21" i="4"/>
  <c r="AA21" i="48" s="1"/>
  <c r="AA21" i="4"/>
  <c r="AB21" i="4"/>
  <c r="AC21" i="48" s="1"/>
  <c r="AC21" i="4"/>
  <c r="AD21" i="4"/>
  <c r="AE21" i="4"/>
  <c r="AF21" i="4"/>
  <c r="AG21" i="4"/>
  <c r="AH21" i="48" s="1"/>
  <c r="AH21" i="4"/>
  <c r="E22" i="4"/>
  <c r="F22" i="4"/>
  <c r="G22" i="4"/>
  <c r="H22" i="4"/>
  <c r="I22" i="4"/>
  <c r="J22" i="4"/>
  <c r="K22" i="4"/>
  <c r="L22" i="48" s="1"/>
  <c r="L22" i="4"/>
  <c r="M22" i="48" s="1"/>
  <c r="M22" i="4"/>
  <c r="N22" i="4"/>
  <c r="O22" i="4"/>
  <c r="P22" i="48" s="1"/>
  <c r="P22" i="4"/>
  <c r="Q22" i="4"/>
  <c r="R22" i="48" s="1"/>
  <c r="R22" i="4"/>
  <c r="S22" i="4"/>
  <c r="T22" i="4"/>
  <c r="U22" i="48" s="1"/>
  <c r="U22" i="4"/>
  <c r="V22" i="48" s="1"/>
  <c r="V22" i="4"/>
  <c r="W22" i="48" s="1"/>
  <c r="W22" i="4"/>
  <c r="X22" i="4"/>
  <c r="Y22" i="4"/>
  <c r="Z22" i="4"/>
  <c r="AA22" i="4"/>
  <c r="AB22" i="48" s="1"/>
  <c r="AB22" i="4"/>
  <c r="AC22" i="48" s="1"/>
  <c r="AC22" i="4"/>
  <c r="AD22" i="48" s="1"/>
  <c r="AD22" i="4"/>
  <c r="AE22" i="4"/>
  <c r="AF22" i="48" s="1"/>
  <c r="AF22" i="4"/>
  <c r="AG22" i="4"/>
  <c r="AH22" i="4"/>
  <c r="E23" i="4"/>
  <c r="F23" i="48" s="1"/>
  <c r="F23" i="4"/>
  <c r="G23" i="48" s="1"/>
  <c r="G23" i="4"/>
  <c r="H23" i="4"/>
  <c r="I23" i="4"/>
  <c r="J23" i="4"/>
  <c r="K23" i="48" s="1"/>
  <c r="K23" i="4"/>
  <c r="L23" i="4"/>
  <c r="M23" i="4"/>
  <c r="N23" i="4"/>
  <c r="O23" i="48" s="1"/>
  <c r="O23" i="4"/>
  <c r="P23" i="48" s="1"/>
  <c r="P23" i="4"/>
  <c r="Q23" i="48" s="1"/>
  <c r="Q23" i="4"/>
  <c r="R23" i="4"/>
  <c r="S23" i="48" s="1"/>
  <c r="S23" i="4"/>
  <c r="T23" i="4"/>
  <c r="U23" i="4"/>
  <c r="V23" i="48" s="1"/>
  <c r="V23" i="4"/>
  <c r="W23" i="4"/>
  <c r="X23" i="4"/>
  <c r="Y23" i="48" s="1"/>
  <c r="Y23" i="4"/>
  <c r="Z23" i="48" s="1"/>
  <c r="Z23" i="4"/>
  <c r="AA23" i="4"/>
  <c r="AB23" i="4"/>
  <c r="AC23" i="4"/>
  <c r="AD23" i="4"/>
  <c r="AE23" i="4"/>
  <c r="AF23" i="4"/>
  <c r="AG23" i="48" s="1"/>
  <c r="AG23" i="4"/>
  <c r="AH23" i="4"/>
  <c r="AI23" i="48" s="1"/>
  <c r="E24" i="4"/>
  <c r="F24" i="4"/>
  <c r="G24" i="48" s="1"/>
  <c r="G24" i="4"/>
  <c r="H24" i="4"/>
  <c r="I24" i="4"/>
  <c r="J24" i="4"/>
  <c r="K24" i="4"/>
  <c r="L24" i="48" s="1"/>
  <c r="L24" i="4"/>
  <c r="M24" i="48" s="1"/>
  <c r="M24" i="4"/>
  <c r="N24" i="4"/>
  <c r="O24" i="48" s="1"/>
  <c r="O24" i="4"/>
  <c r="P24" i="48" s="1"/>
  <c r="P24" i="4"/>
  <c r="Q24" i="48" s="1"/>
  <c r="Q24" i="4"/>
  <c r="R24" i="48" s="1"/>
  <c r="R24" i="4"/>
  <c r="S24" i="4"/>
  <c r="T24" i="4"/>
  <c r="U24" i="4"/>
  <c r="V24" i="4"/>
  <c r="W24" i="48" s="1"/>
  <c r="W24" i="4"/>
  <c r="X24" i="4"/>
  <c r="Y24" i="4"/>
  <c r="Z24" i="48" s="1"/>
  <c r="Z24" i="4"/>
  <c r="AA24" i="4"/>
  <c r="AB24" i="4"/>
  <c r="AC24" i="48" s="1"/>
  <c r="AC24" i="4"/>
  <c r="AD24" i="4"/>
  <c r="AE24" i="48" s="1"/>
  <c r="AE24" i="4"/>
  <c r="AF24" i="4"/>
  <c r="AG24" i="4"/>
  <c r="AH24" i="4"/>
  <c r="E25" i="4"/>
  <c r="F25" i="48" s="1"/>
  <c r="F25" i="4"/>
  <c r="G25" i="4"/>
  <c r="H25" i="4"/>
  <c r="I25" i="4"/>
  <c r="J25" i="48" s="1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8" s="1"/>
  <c r="Z25" i="4"/>
  <c r="AA25" i="4"/>
  <c r="AB25" i="4"/>
  <c r="AC25" i="4"/>
  <c r="AD25" i="4"/>
  <c r="AE25" i="48" s="1"/>
  <c r="AE25" i="4"/>
  <c r="AF25" i="48" s="1"/>
  <c r="AF25" i="4"/>
  <c r="AG25" i="48" s="1"/>
  <c r="AG25" i="4"/>
  <c r="AH25" i="48" s="1"/>
  <c r="AH25" i="4"/>
  <c r="AI25" i="48" s="1"/>
  <c r="E26" i="4"/>
  <c r="F26" i="4"/>
  <c r="G26" i="48" s="1"/>
  <c r="G26" i="4"/>
  <c r="H26" i="4"/>
  <c r="I26" i="48" s="1"/>
  <c r="I26" i="4"/>
  <c r="J26" i="4"/>
  <c r="K26" i="48" s="1"/>
  <c r="K26" i="4"/>
  <c r="L26" i="48" s="1"/>
  <c r="L26" i="4"/>
  <c r="M26" i="4"/>
  <c r="N26" i="4"/>
  <c r="O26" i="48" s="1"/>
  <c r="O26" i="4"/>
  <c r="P26" i="4"/>
  <c r="Q26" i="4"/>
  <c r="R26" i="48" s="1"/>
  <c r="R26" i="4"/>
  <c r="S26" i="4"/>
  <c r="T26" i="48" s="1"/>
  <c r="T26" i="4"/>
  <c r="U26" i="4"/>
  <c r="V26" i="48" s="1"/>
  <c r="V26" i="4"/>
  <c r="W26" i="48" s="1"/>
  <c r="W26" i="4"/>
  <c r="X26" i="48" s="1"/>
  <c r="X26" i="4"/>
  <c r="Y26" i="48" s="1"/>
  <c r="Y26" i="4"/>
  <c r="Z26" i="4"/>
  <c r="AA26" i="48" s="1"/>
  <c r="AA26" i="4"/>
  <c r="AB26" i="48" s="1"/>
  <c r="AB26" i="4"/>
  <c r="AC26" i="4"/>
  <c r="AD26" i="48" s="1"/>
  <c r="AD26" i="4"/>
  <c r="AE26" i="48" s="1"/>
  <c r="AE26" i="4"/>
  <c r="AF26" i="48" s="1"/>
  <c r="AF26" i="4"/>
  <c r="AG26" i="4"/>
  <c r="AH26" i="48" s="1"/>
  <c r="AH26" i="4"/>
  <c r="E27" i="4"/>
  <c r="F27" i="48" s="1"/>
  <c r="F27" i="4"/>
  <c r="G27" i="4"/>
  <c r="H27" i="4"/>
  <c r="I27" i="4"/>
  <c r="J27" i="48" s="1"/>
  <c r="J27" i="4"/>
  <c r="K27" i="48" s="1"/>
  <c r="K27" i="4"/>
  <c r="L27" i="48" s="1"/>
  <c r="L27" i="4"/>
  <c r="M27" i="48" s="1"/>
  <c r="M27" i="4"/>
  <c r="N27" i="48" s="1"/>
  <c r="N27" i="4"/>
  <c r="O27" i="4"/>
  <c r="P27" i="48" s="1"/>
  <c r="P27" i="4"/>
  <c r="Q27" i="4"/>
  <c r="R27" i="48" s="1"/>
  <c r="R27" i="4"/>
  <c r="S27" i="4"/>
  <c r="T27" i="4"/>
  <c r="U27" i="48" s="1"/>
  <c r="U27" i="4"/>
  <c r="V27" i="4"/>
  <c r="W27" i="4"/>
  <c r="X27" i="48" s="1"/>
  <c r="X27" i="4"/>
  <c r="Y27" i="4"/>
  <c r="Z27" i="4"/>
  <c r="AA27" i="4"/>
  <c r="AB27" i="48" s="1"/>
  <c r="AB27" i="4"/>
  <c r="AC27" i="4"/>
  <c r="AD27" i="48" s="1"/>
  <c r="AD27" i="4"/>
  <c r="AE27" i="4"/>
  <c r="AF27" i="4"/>
  <c r="AG27" i="4"/>
  <c r="AH27" i="4"/>
  <c r="E28" i="4"/>
  <c r="F28" i="4"/>
  <c r="G28" i="4"/>
  <c r="H28" i="4"/>
  <c r="I28" i="4"/>
  <c r="J28" i="4"/>
  <c r="K28" i="4"/>
  <c r="L28" i="4"/>
  <c r="M28" i="4"/>
  <c r="N28" i="4"/>
  <c r="O28" i="4"/>
  <c r="P28" i="48" s="1"/>
  <c r="P28" i="4"/>
  <c r="Q28" i="48" s="1"/>
  <c r="Q28" i="4"/>
  <c r="R28" i="4"/>
  <c r="S28" i="4"/>
  <c r="T28" i="4"/>
  <c r="U28" i="4"/>
  <c r="V28" i="48" s="1"/>
  <c r="V28" i="4"/>
  <c r="W28" i="48" s="1"/>
  <c r="W28" i="4"/>
  <c r="X28" i="48" s="1"/>
  <c r="X28" i="4"/>
  <c r="Y28" i="4"/>
  <c r="Z28" i="4"/>
  <c r="AA28" i="4"/>
  <c r="AB28" i="48" s="1"/>
  <c r="AB28" i="4"/>
  <c r="AC28" i="4"/>
  <c r="AD28" i="48" s="1"/>
  <c r="AD28" i="4"/>
  <c r="AE28" i="48" s="1"/>
  <c r="AE28" i="4"/>
  <c r="AF28" i="48" s="1"/>
  <c r="AF28" i="4"/>
  <c r="AG28" i="48" s="1"/>
  <c r="AG28" i="4"/>
  <c r="AH28" i="4"/>
  <c r="E29" i="4"/>
  <c r="F29" i="4"/>
  <c r="G29" i="4"/>
  <c r="H29" i="48" s="1"/>
  <c r="H29" i="4"/>
  <c r="I29" i="48" s="1"/>
  <c r="I29" i="4"/>
  <c r="J29" i="48" s="1"/>
  <c r="J29" i="4"/>
  <c r="K29" i="48" s="1"/>
  <c r="K29" i="4"/>
  <c r="L29" i="4"/>
  <c r="M29" i="4"/>
  <c r="N29" i="4"/>
  <c r="O29" i="4"/>
  <c r="P29" i="4"/>
  <c r="Q29" i="4"/>
  <c r="R29" i="48" s="1"/>
  <c r="R29" i="4"/>
  <c r="S29" i="4"/>
  <c r="T29" i="48" s="1"/>
  <c r="T29" i="4"/>
  <c r="U29" i="4"/>
  <c r="V29" i="48" s="1"/>
  <c r="V29" i="4"/>
  <c r="W29" i="4"/>
  <c r="X29" i="4"/>
  <c r="Y29" i="48" s="1"/>
  <c r="Y29" i="4"/>
  <c r="Z29" i="4"/>
  <c r="AA29" i="4"/>
  <c r="AB29" i="4"/>
  <c r="AC29" i="4"/>
  <c r="AD29" i="4"/>
  <c r="AE29" i="4"/>
  <c r="AF29" i="48" s="1"/>
  <c r="AF29" i="4"/>
  <c r="AG29" i="48" s="1"/>
  <c r="AG29" i="4"/>
  <c r="AH29" i="4"/>
  <c r="G6" i="53"/>
  <c r="H6" i="53"/>
  <c r="I6" i="53"/>
  <c r="J6" i="53"/>
  <c r="K6" i="53"/>
  <c r="L6" i="53"/>
  <c r="M6" i="53"/>
  <c r="N6" i="53"/>
  <c r="O6" i="53"/>
  <c r="P6" i="53"/>
  <c r="Q6" i="53"/>
  <c r="R6" i="53"/>
  <c r="S6" i="53"/>
  <c r="T6" i="53"/>
  <c r="U6" i="53"/>
  <c r="V6" i="53"/>
  <c r="W6" i="53"/>
  <c r="X6" i="53"/>
  <c r="Y6" i="53"/>
  <c r="Z6" i="53"/>
  <c r="AA6" i="53"/>
  <c r="AB6" i="53"/>
  <c r="AC6" i="53"/>
  <c r="AD6" i="53"/>
  <c r="AE6" i="53"/>
  <c r="AF6" i="53"/>
  <c r="AG6" i="53"/>
  <c r="AH6" i="53"/>
  <c r="AI6" i="53"/>
  <c r="AJ6" i="53"/>
  <c r="G7" i="53"/>
  <c r="H7" i="53"/>
  <c r="I7" i="53"/>
  <c r="J7" i="53"/>
  <c r="K7" i="53"/>
  <c r="L7" i="53"/>
  <c r="M7" i="53"/>
  <c r="N7" i="53"/>
  <c r="O7" i="53"/>
  <c r="P7" i="53"/>
  <c r="Q7" i="53"/>
  <c r="R7" i="53"/>
  <c r="S7" i="53"/>
  <c r="T7" i="53"/>
  <c r="U7" i="53"/>
  <c r="V7" i="53"/>
  <c r="W7" i="53"/>
  <c r="X7" i="53"/>
  <c r="Y7" i="53"/>
  <c r="Z7" i="53"/>
  <c r="AA7" i="53"/>
  <c r="AB7" i="53"/>
  <c r="AC7" i="53"/>
  <c r="AD7" i="53"/>
  <c r="AE7" i="53"/>
  <c r="AF7" i="53"/>
  <c r="AG7" i="53"/>
  <c r="AH7" i="53"/>
  <c r="AI7" i="53"/>
  <c r="AJ7" i="53"/>
  <c r="G8" i="53"/>
  <c r="H8" i="53"/>
  <c r="I8" i="53"/>
  <c r="J8" i="53"/>
  <c r="K8" i="53"/>
  <c r="L8" i="53"/>
  <c r="M8" i="53"/>
  <c r="N8" i="53"/>
  <c r="O8" i="53"/>
  <c r="P8" i="53"/>
  <c r="Q8" i="53"/>
  <c r="R8" i="53"/>
  <c r="S8" i="53"/>
  <c r="T8" i="53"/>
  <c r="U8" i="53"/>
  <c r="V8" i="53"/>
  <c r="W8" i="53"/>
  <c r="X8" i="53"/>
  <c r="Y8" i="53"/>
  <c r="Z8" i="53"/>
  <c r="AA8" i="53"/>
  <c r="AB8" i="53"/>
  <c r="AC8" i="53"/>
  <c r="AD8" i="53"/>
  <c r="AE8" i="53"/>
  <c r="AF8" i="53"/>
  <c r="AG8" i="53"/>
  <c r="AH8" i="53"/>
  <c r="AI8" i="53"/>
  <c r="AJ8" i="53"/>
  <c r="G9" i="53"/>
  <c r="H9" i="53"/>
  <c r="I9" i="53"/>
  <c r="J9" i="53"/>
  <c r="K9" i="53"/>
  <c r="L9" i="53"/>
  <c r="M9" i="53"/>
  <c r="N9" i="53"/>
  <c r="O9" i="53"/>
  <c r="P9" i="53"/>
  <c r="Q9" i="53"/>
  <c r="R9" i="53"/>
  <c r="S9" i="53"/>
  <c r="T9" i="53"/>
  <c r="U9" i="53"/>
  <c r="V9" i="53"/>
  <c r="W9" i="53"/>
  <c r="X9" i="53"/>
  <c r="Y9" i="53"/>
  <c r="Z9" i="53"/>
  <c r="AA9" i="53"/>
  <c r="AB9" i="53"/>
  <c r="AC9" i="53"/>
  <c r="AD9" i="53"/>
  <c r="AE9" i="53"/>
  <c r="AF9" i="53"/>
  <c r="AG9" i="53"/>
  <c r="AH9" i="53"/>
  <c r="AI9" i="53"/>
  <c r="AJ9" i="53"/>
  <c r="G10" i="53"/>
  <c r="H10" i="53"/>
  <c r="I10" i="53"/>
  <c r="J10" i="53"/>
  <c r="K10" i="53"/>
  <c r="L10" i="53"/>
  <c r="M10" i="53"/>
  <c r="N10" i="53"/>
  <c r="O10" i="53"/>
  <c r="P10" i="53"/>
  <c r="Q10" i="53"/>
  <c r="R10" i="53"/>
  <c r="S10" i="53"/>
  <c r="T10" i="53"/>
  <c r="U10" i="53"/>
  <c r="V10" i="53"/>
  <c r="W10" i="53"/>
  <c r="X10" i="53"/>
  <c r="Y10" i="53"/>
  <c r="Z10" i="53"/>
  <c r="AA10" i="53"/>
  <c r="AB10" i="53"/>
  <c r="AC10" i="53"/>
  <c r="AD10" i="53"/>
  <c r="AE10" i="53"/>
  <c r="AF10" i="53"/>
  <c r="AG10" i="53"/>
  <c r="AH10" i="53"/>
  <c r="AI10" i="53"/>
  <c r="AJ10" i="53"/>
  <c r="G11" i="53"/>
  <c r="H11" i="53"/>
  <c r="I11" i="53"/>
  <c r="J11" i="53"/>
  <c r="K11" i="53"/>
  <c r="L11" i="53"/>
  <c r="M11" i="53"/>
  <c r="N11" i="53"/>
  <c r="O11" i="53"/>
  <c r="P11" i="53"/>
  <c r="Q11" i="53"/>
  <c r="R11" i="53"/>
  <c r="S11" i="53"/>
  <c r="T11" i="53"/>
  <c r="U11" i="53"/>
  <c r="V11" i="53"/>
  <c r="W11" i="53"/>
  <c r="X11" i="53"/>
  <c r="Y11" i="53"/>
  <c r="Z11" i="53"/>
  <c r="AA11" i="53"/>
  <c r="AB11" i="53"/>
  <c r="AC11" i="53"/>
  <c r="AD11" i="53"/>
  <c r="AE11" i="53"/>
  <c r="AF11" i="53"/>
  <c r="AG11" i="53"/>
  <c r="AH11" i="53"/>
  <c r="AI11" i="53"/>
  <c r="AJ11" i="53"/>
  <c r="G12" i="53"/>
  <c r="H12" i="53"/>
  <c r="I12" i="53"/>
  <c r="J12" i="53"/>
  <c r="K12" i="53"/>
  <c r="L12" i="53"/>
  <c r="M12" i="53"/>
  <c r="N12" i="53"/>
  <c r="O12" i="53"/>
  <c r="P12" i="53"/>
  <c r="Q12" i="53"/>
  <c r="R12" i="53"/>
  <c r="S12" i="53"/>
  <c r="T12" i="53"/>
  <c r="U12" i="53"/>
  <c r="V12" i="53"/>
  <c r="W12" i="53"/>
  <c r="X12" i="53"/>
  <c r="Y12" i="53"/>
  <c r="Z12" i="53"/>
  <c r="AA12" i="53"/>
  <c r="AB12" i="53"/>
  <c r="AC12" i="53"/>
  <c r="AD12" i="53"/>
  <c r="AE12" i="53"/>
  <c r="AF12" i="53"/>
  <c r="AG12" i="53"/>
  <c r="AH12" i="53"/>
  <c r="AI12" i="53"/>
  <c r="AJ12" i="53"/>
  <c r="G13" i="53"/>
  <c r="H13" i="53"/>
  <c r="I13" i="53"/>
  <c r="J13" i="53"/>
  <c r="K13" i="53"/>
  <c r="L13" i="53"/>
  <c r="M13" i="53"/>
  <c r="N13" i="53"/>
  <c r="O13" i="53"/>
  <c r="P13" i="53"/>
  <c r="Q13" i="53"/>
  <c r="R13" i="53"/>
  <c r="S13" i="53"/>
  <c r="T13" i="53"/>
  <c r="U13" i="53"/>
  <c r="V13" i="53"/>
  <c r="W13" i="53"/>
  <c r="X13" i="53"/>
  <c r="Y13" i="53"/>
  <c r="Z13" i="53"/>
  <c r="AA13" i="53"/>
  <c r="AB13" i="53"/>
  <c r="AC13" i="53"/>
  <c r="AD13" i="53"/>
  <c r="AE13" i="53"/>
  <c r="AF13" i="53"/>
  <c r="AG13" i="53"/>
  <c r="AH13" i="53"/>
  <c r="AI13" i="53"/>
  <c r="AJ13" i="53"/>
  <c r="G14" i="53"/>
  <c r="H14" i="53"/>
  <c r="I14" i="53"/>
  <c r="J14" i="53"/>
  <c r="K14" i="53"/>
  <c r="L14" i="53"/>
  <c r="M14" i="53"/>
  <c r="N14" i="53"/>
  <c r="O14" i="53"/>
  <c r="P14" i="53"/>
  <c r="Q14" i="53"/>
  <c r="R14" i="53"/>
  <c r="S14" i="53"/>
  <c r="T14" i="53"/>
  <c r="U14" i="53"/>
  <c r="V14" i="53"/>
  <c r="W14" i="53"/>
  <c r="X14" i="53"/>
  <c r="Y14" i="53"/>
  <c r="Z14" i="53"/>
  <c r="AA14" i="53"/>
  <c r="AB14" i="53"/>
  <c r="AC14" i="53"/>
  <c r="AD14" i="53"/>
  <c r="AE14" i="53"/>
  <c r="AF14" i="53"/>
  <c r="AG14" i="53"/>
  <c r="AH14" i="53"/>
  <c r="AI14" i="53"/>
  <c r="AJ14" i="53"/>
  <c r="G15" i="53"/>
  <c r="H15" i="53"/>
  <c r="I15" i="53"/>
  <c r="J15" i="53"/>
  <c r="K15" i="53"/>
  <c r="L15" i="53"/>
  <c r="M15" i="53"/>
  <c r="N15" i="53"/>
  <c r="O15" i="53"/>
  <c r="P15" i="53"/>
  <c r="Q15" i="53"/>
  <c r="R15" i="53"/>
  <c r="S15" i="53"/>
  <c r="T15" i="53"/>
  <c r="U15" i="53"/>
  <c r="V15" i="53"/>
  <c r="W15" i="53"/>
  <c r="X15" i="53"/>
  <c r="Y15" i="53"/>
  <c r="Z15" i="53"/>
  <c r="AA15" i="53"/>
  <c r="AB15" i="53"/>
  <c r="AC15" i="53"/>
  <c r="AD15" i="53"/>
  <c r="AE15" i="53"/>
  <c r="AF15" i="53"/>
  <c r="AG15" i="53"/>
  <c r="AH15" i="53"/>
  <c r="AI15" i="53"/>
  <c r="AJ15" i="53"/>
  <c r="G16" i="53"/>
  <c r="H16" i="53"/>
  <c r="I16" i="53"/>
  <c r="J16" i="53"/>
  <c r="K16" i="53"/>
  <c r="L16" i="53"/>
  <c r="M16" i="53"/>
  <c r="N16" i="53"/>
  <c r="O16" i="53"/>
  <c r="P16" i="53"/>
  <c r="Q16" i="53"/>
  <c r="R16" i="53"/>
  <c r="S16" i="53"/>
  <c r="T16" i="53"/>
  <c r="U16" i="53"/>
  <c r="V16" i="53"/>
  <c r="W16" i="53"/>
  <c r="X16" i="53"/>
  <c r="Y16" i="53"/>
  <c r="Z16" i="53"/>
  <c r="AA16" i="53"/>
  <c r="AB16" i="53"/>
  <c r="AC16" i="53"/>
  <c r="AD16" i="53"/>
  <c r="AE16" i="53"/>
  <c r="AF16" i="53"/>
  <c r="AG16" i="53"/>
  <c r="AH16" i="53"/>
  <c r="AI16" i="53"/>
  <c r="AJ16" i="53"/>
  <c r="G17" i="53"/>
  <c r="H17" i="53"/>
  <c r="I17" i="53"/>
  <c r="J17" i="53"/>
  <c r="K17" i="53"/>
  <c r="L17" i="53"/>
  <c r="M17" i="53"/>
  <c r="N17" i="53"/>
  <c r="O17" i="53"/>
  <c r="P17" i="53"/>
  <c r="Q17" i="53"/>
  <c r="R17" i="53"/>
  <c r="S17" i="53"/>
  <c r="T17" i="53"/>
  <c r="U17" i="53"/>
  <c r="V17" i="53"/>
  <c r="W17" i="53"/>
  <c r="X17" i="53"/>
  <c r="Y17" i="53"/>
  <c r="Z17" i="53"/>
  <c r="AA17" i="53"/>
  <c r="AB17" i="53"/>
  <c r="AC17" i="53"/>
  <c r="AD17" i="53"/>
  <c r="AE17" i="53"/>
  <c r="AF17" i="53"/>
  <c r="AG17" i="53"/>
  <c r="AH17" i="53"/>
  <c r="AI17" i="53"/>
  <c r="AJ17" i="53"/>
  <c r="G18" i="53"/>
  <c r="H18" i="53"/>
  <c r="I18" i="53"/>
  <c r="J18" i="53"/>
  <c r="K18" i="53"/>
  <c r="L18" i="53"/>
  <c r="M18" i="53"/>
  <c r="N18" i="53"/>
  <c r="O18" i="53"/>
  <c r="P18" i="53"/>
  <c r="Q18" i="53"/>
  <c r="R18" i="53"/>
  <c r="S18" i="53"/>
  <c r="T18" i="53"/>
  <c r="U18" i="53"/>
  <c r="V18" i="53"/>
  <c r="W18" i="53"/>
  <c r="X18" i="53"/>
  <c r="Y18" i="53"/>
  <c r="Z18" i="53"/>
  <c r="AA18" i="53"/>
  <c r="AB18" i="53"/>
  <c r="AC18" i="53"/>
  <c r="AD18" i="53"/>
  <c r="AE18" i="53"/>
  <c r="AF18" i="53"/>
  <c r="AG18" i="53"/>
  <c r="AH18" i="53"/>
  <c r="AI18" i="53"/>
  <c r="AJ18" i="53"/>
  <c r="G19" i="53"/>
  <c r="H19" i="53"/>
  <c r="I19" i="53"/>
  <c r="J19" i="53"/>
  <c r="K19" i="53"/>
  <c r="L19" i="53"/>
  <c r="M19" i="53"/>
  <c r="N19" i="53"/>
  <c r="O19" i="53"/>
  <c r="P19" i="53"/>
  <c r="Q19" i="53"/>
  <c r="R19" i="53"/>
  <c r="S19" i="53"/>
  <c r="T19" i="53"/>
  <c r="U19" i="53"/>
  <c r="V19" i="53"/>
  <c r="W19" i="53"/>
  <c r="X19" i="53"/>
  <c r="Y19" i="53"/>
  <c r="Z19" i="53"/>
  <c r="AA19" i="53"/>
  <c r="AB19" i="53"/>
  <c r="AC19" i="53"/>
  <c r="AD19" i="53"/>
  <c r="AE19" i="53"/>
  <c r="AF19" i="53"/>
  <c r="AG19" i="53"/>
  <c r="AH19" i="53"/>
  <c r="AI19" i="53"/>
  <c r="AJ19" i="53"/>
  <c r="G20" i="53"/>
  <c r="H20" i="53"/>
  <c r="I20" i="53"/>
  <c r="J20" i="53"/>
  <c r="K20" i="53"/>
  <c r="L20" i="53"/>
  <c r="M20" i="53"/>
  <c r="N20" i="53"/>
  <c r="O20" i="53"/>
  <c r="P20" i="53"/>
  <c r="Q20" i="53"/>
  <c r="R20" i="53"/>
  <c r="S20" i="53"/>
  <c r="T20" i="53"/>
  <c r="U20" i="53"/>
  <c r="V20" i="53"/>
  <c r="W20" i="53"/>
  <c r="X20" i="53"/>
  <c r="Y20" i="53"/>
  <c r="Z20" i="53"/>
  <c r="AA20" i="53"/>
  <c r="AB20" i="53"/>
  <c r="AC20" i="53"/>
  <c r="AD20" i="53"/>
  <c r="AE20" i="53"/>
  <c r="AF20" i="53"/>
  <c r="AG20" i="53"/>
  <c r="AH20" i="53"/>
  <c r="AI20" i="53"/>
  <c r="AJ20" i="53"/>
  <c r="G21" i="53"/>
  <c r="H21" i="53"/>
  <c r="I21" i="53"/>
  <c r="J21" i="53"/>
  <c r="K21" i="53"/>
  <c r="L21" i="53"/>
  <c r="M21" i="53"/>
  <c r="N21" i="53"/>
  <c r="O21" i="53"/>
  <c r="P21" i="53"/>
  <c r="Q21" i="53"/>
  <c r="R21" i="53"/>
  <c r="S21" i="53"/>
  <c r="T21" i="53"/>
  <c r="U21" i="53"/>
  <c r="V21" i="53"/>
  <c r="W21" i="53"/>
  <c r="X21" i="53"/>
  <c r="Y21" i="53"/>
  <c r="Z21" i="53"/>
  <c r="AA21" i="53"/>
  <c r="AB21" i="53"/>
  <c r="AC21" i="53"/>
  <c r="AD21" i="53"/>
  <c r="AE21" i="53"/>
  <c r="AF21" i="53"/>
  <c r="AG21" i="53"/>
  <c r="AH21" i="53"/>
  <c r="AI21" i="53"/>
  <c r="AJ21" i="53"/>
  <c r="G22" i="53"/>
  <c r="H22" i="53"/>
  <c r="I22" i="53"/>
  <c r="J22" i="53"/>
  <c r="K22" i="53"/>
  <c r="L22" i="53"/>
  <c r="M22" i="53"/>
  <c r="N22" i="53"/>
  <c r="O22" i="53"/>
  <c r="P22" i="53"/>
  <c r="Q22" i="53"/>
  <c r="R22" i="53"/>
  <c r="S22" i="53"/>
  <c r="T22" i="53"/>
  <c r="U22" i="53"/>
  <c r="V22" i="53"/>
  <c r="W22" i="53"/>
  <c r="X22" i="53"/>
  <c r="Y22" i="53"/>
  <c r="Z22" i="53"/>
  <c r="AA22" i="53"/>
  <c r="AB22" i="53"/>
  <c r="AC22" i="53"/>
  <c r="AD22" i="53"/>
  <c r="AE22" i="53"/>
  <c r="AF22" i="53"/>
  <c r="AG22" i="53"/>
  <c r="AH22" i="53"/>
  <c r="AI22" i="53"/>
  <c r="AJ22" i="53"/>
  <c r="G23" i="53"/>
  <c r="H23" i="53"/>
  <c r="I23" i="53"/>
  <c r="J23" i="53"/>
  <c r="K23" i="53"/>
  <c r="L23" i="53"/>
  <c r="M23" i="53"/>
  <c r="N23" i="53"/>
  <c r="O23" i="53"/>
  <c r="P23" i="53"/>
  <c r="Q23" i="53"/>
  <c r="R23" i="53"/>
  <c r="S23" i="53"/>
  <c r="T23" i="53"/>
  <c r="U23" i="53"/>
  <c r="V23" i="53"/>
  <c r="W23" i="53"/>
  <c r="X23" i="53"/>
  <c r="Y23" i="53"/>
  <c r="Z23" i="53"/>
  <c r="AA23" i="53"/>
  <c r="AB23" i="53"/>
  <c r="AC23" i="53"/>
  <c r="AD23" i="53"/>
  <c r="AE23" i="53"/>
  <c r="AF23" i="53"/>
  <c r="AG23" i="53"/>
  <c r="AH23" i="53"/>
  <c r="AI23" i="53"/>
  <c r="AJ23" i="53"/>
  <c r="G24" i="53"/>
  <c r="H24" i="53"/>
  <c r="I24" i="53"/>
  <c r="J24" i="53"/>
  <c r="K24" i="53"/>
  <c r="L24" i="53"/>
  <c r="M24" i="53"/>
  <c r="N24" i="53"/>
  <c r="O24" i="53"/>
  <c r="P24" i="53"/>
  <c r="Q24" i="53"/>
  <c r="R24" i="53"/>
  <c r="S24" i="53"/>
  <c r="T24" i="53"/>
  <c r="U24" i="53"/>
  <c r="V24" i="53"/>
  <c r="W24" i="53"/>
  <c r="X24" i="53"/>
  <c r="Y24" i="53"/>
  <c r="Z24" i="53"/>
  <c r="AA24" i="53"/>
  <c r="AB24" i="53"/>
  <c r="AC24" i="53"/>
  <c r="AD24" i="53"/>
  <c r="AE24" i="53"/>
  <c r="AF24" i="53"/>
  <c r="AG24" i="53"/>
  <c r="AH24" i="53"/>
  <c r="AI24" i="53"/>
  <c r="AJ24" i="53"/>
  <c r="G25" i="53"/>
  <c r="H25" i="53"/>
  <c r="I25" i="53"/>
  <c r="J25" i="53"/>
  <c r="K25" i="53"/>
  <c r="L25" i="53"/>
  <c r="M25" i="53"/>
  <c r="N25" i="53"/>
  <c r="O25" i="53"/>
  <c r="P25" i="53"/>
  <c r="Q25" i="53"/>
  <c r="R25" i="53"/>
  <c r="S25" i="53"/>
  <c r="T25" i="53"/>
  <c r="U25" i="53"/>
  <c r="V25" i="53"/>
  <c r="W25" i="53"/>
  <c r="X25" i="53"/>
  <c r="Y25" i="53"/>
  <c r="Z25" i="53"/>
  <c r="AA25" i="53"/>
  <c r="AB25" i="53"/>
  <c r="AC25" i="53"/>
  <c r="AD25" i="53"/>
  <c r="AE25" i="53"/>
  <c r="AF25" i="53"/>
  <c r="AG25" i="53"/>
  <c r="AH25" i="53"/>
  <c r="AI25" i="53"/>
  <c r="AJ25" i="53"/>
  <c r="G26" i="53"/>
  <c r="H26" i="53"/>
  <c r="I26" i="53"/>
  <c r="J26" i="53"/>
  <c r="K26" i="53"/>
  <c r="L26" i="53"/>
  <c r="M26" i="53"/>
  <c r="N26" i="53"/>
  <c r="O26" i="53"/>
  <c r="P26" i="53"/>
  <c r="Q26" i="53"/>
  <c r="R26" i="53"/>
  <c r="S26" i="53"/>
  <c r="T26" i="53"/>
  <c r="U26" i="53"/>
  <c r="V26" i="53"/>
  <c r="W26" i="53"/>
  <c r="X26" i="53"/>
  <c r="Y26" i="53"/>
  <c r="Z26" i="53"/>
  <c r="AA26" i="53"/>
  <c r="AB26" i="53"/>
  <c r="AC26" i="53"/>
  <c r="AD26" i="53"/>
  <c r="AE26" i="53"/>
  <c r="AF26" i="53"/>
  <c r="AG26" i="53"/>
  <c r="AH26" i="53"/>
  <c r="AI26" i="53"/>
  <c r="AJ26" i="53"/>
  <c r="G27" i="53"/>
  <c r="H27" i="53"/>
  <c r="I27" i="53"/>
  <c r="J27" i="53"/>
  <c r="K27" i="53"/>
  <c r="L27" i="53"/>
  <c r="M27" i="53"/>
  <c r="N27" i="53"/>
  <c r="O27" i="53"/>
  <c r="P27" i="53"/>
  <c r="Q27" i="53"/>
  <c r="R27" i="53"/>
  <c r="S27" i="53"/>
  <c r="T27" i="53"/>
  <c r="U27" i="53"/>
  <c r="V27" i="53"/>
  <c r="W27" i="53"/>
  <c r="X27" i="53"/>
  <c r="Y27" i="53"/>
  <c r="Z27" i="53"/>
  <c r="AA27" i="53"/>
  <c r="AB27" i="53"/>
  <c r="AC27" i="53"/>
  <c r="AD27" i="53"/>
  <c r="AE27" i="53"/>
  <c r="AF27" i="53"/>
  <c r="AG27" i="53"/>
  <c r="AH27" i="53"/>
  <c r="AI27" i="53"/>
  <c r="AJ27" i="53"/>
  <c r="G28" i="53"/>
  <c r="H28" i="53"/>
  <c r="I28" i="53"/>
  <c r="J28" i="53"/>
  <c r="K28" i="53"/>
  <c r="L28" i="53"/>
  <c r="M28" i="53"/>
  <c r="N28" i="53"/>
  <c r="O28" i="53"/>
  <c r="P28" i="53"/>
  <c r="Q28" i="53"/>
  <c r="R28" i="53"/>
  <c r="S28" i="53"/>
  <c r="T28" i="53"/>
  <c r="U28" i="53"/>
  <c r="V28" i="53"/>
  <c r="W28" i="53"/>
  <c r="X28" i="53"/>
  <c r="Y28" i="53"/>
  <c r="Z28" i="53"/>
  <c r="AA28" i="53"/>
  <c r="AB28" i="53"/>
  <c r="AC28" i="53"/>
  <c r="AD28" i="53"/>
  <c r="AE28" i="53"/>
  <c r="AF28" i="53"/>
  <c r="AG28" i="53"/>
  <c r="AH28" i="53"/>
  <c r="AI28" i="53"/>
  <c r="AJ28" i="53"/>
  <c r="G29" i="53"/>
  <c r="H29" i="53"/>
  <c r="I29" i="53"/>
  <c r="J29" i="53"/>
  <c r="K29" i="53"/>
  <c r="L29" i="53"/>
  <c r="M29" i="53"/>
  <c r="N29" i="53"/>
  <c r="O29" i="53"/>
  <c r="P29" i="53"/>
  <c r="Q29" i="53"/>
  <c r="R29" i="53"/>
  <c r="S29" i="53"/>
  <c r="T29" i="53"/>
  <c r="U29" i="53"/>
  <c r="V29" i="53"/>
  <c r="W29" i="53"/>
  <c r="X29" i="53"/>
  <c r="Y29" i="53"/>
  <c r="Z29" i="53"/>
  <c r="AA29" i="53"/>
  <c r="AB29" i="53"/>
  <c r="AC29" i="53"/>
  <c r="AD29" i="53"/>
  <c r="AE29" i="53"/>
  <c r="AF29" i="53"/>
  <c r="AG29" i="53"/>
  <c r="AH29" i="53"/>
  <c r="AI29" i="53"/>
  <c r="AJ29" i="53"/>
  <c r="G37" i="53"/>
  <c r="H37" i="53"/>
  <c r="I37" i="53"/>
  <c r="J37" i="53"/>
  <c r="K37" i="53"/>
  <c r="L37" i="53"/>
  <c r="M37" i="53"/>
  <c r="N37" i="53"/>
  <c r="O37" i="53"/>
  <c r="P37" i="53"/>
  <c r="Q37" i="53"/>
  <c r="R37" i="53"/>
  <c r="S37" i="53"/>
  <c r="T37" i="53"/>
  <c r="U37" i="53"/>
  <c r="V37" i="53"/>
  <c r="W37" i="53"/>
  <c r="X37" i="53"/>
  <c r="Y37" i="53"/>
  <c r="Z37" i="53"/>
  <c r="AA37" i="53"/>
  <c r="AB37" i="53"/>
  <c r="AC37" i="53"/>
  <c r="AD37" i="53"/>
  <c r="AE37" i="53"/>
  <c r="AF37" i="53"/>
  <c r="AG37" i="53"/>
  <c r="AH37" i="53"/>
  <c r="AI37" i="53"/>
  <c r="AJ37" i="53"/>
  <c r="G38" i="53"/>
  <c r="H38" i="53"/>
  <c r="I38" i="53"/>
  <c r="J38" i="53"/>
  <c r="K38" i="53"/>
  <c r="L38" i="53"/>
  <c r="M38" i="53"/>
  <c r="N38" i="53"/>
  <c r="O38" i="53"/>
  <c r="P38" i="53"/>
  <c r="Q38" i="53"/>
  <c r="R38" i="53"/>
  <c r="S38" i="53"/>
  <c r="T38" i="53"/>
  <c r="U38" i="53"/>
  <c r="V38" i="53"/>
  <c r="W38" i="53"/>
  <c r="X38" i="53"/>
  <c r="Y38" i="53"/>
  <c r="Z38" i="53"/>
  <c r="AA38" i="53"/>
  <c r="AB38" i="53"/>
  <c r="AC38" i="53"/>
  <c r="AD38" i="53"/>
  <c r="AE38" i="53"/>
  <c r="AF38" i="53"/>
  <c r="AG38" i="53"/>
  <c r="AH38" i="53"/>
  <c r="AI38" i="53"/>
  <c r="AJ38" i="53"/>
  <c r="G39" i="53"/>
  <c r="H39" i="53"/>
  <c r="I39" i="53"/>
  <c r="J39" i="53"/>
  <c r="K39" i="53"/>
  <c r="L39" i="53"/>
  <c r="M39" i="53"/>
  <c r="N39" i="53"/>
  <c r="O39" i="53"/>
  <c r="P39" i="53"/>
  <c r="Q39" i="53"/>
  <c r="R39" i="53"/>
  <c r="S39" i="53"/>
  <c r="T39" i="53"/>
  <c r="U39" i="53"/>
  <c r="V39" i="53"/>
  <c r="W39" i="53"/>
  <c r="X39" i="53"/>
  <c r="Y39" i="53"/>
  <c r="Z39" i="53"/>
  <c r="AA39" i="53"/>
  <c r="AB39" i="53"/>
  <c r="AC39" i="53"/>
  <c r="AD39" i="53"/>
  <c r="AE39" i="53"/>
  <c r="AF39" i="53"/>
  <c r="AG39" i="53"/>
  <c r="AH39" i="53"/>
  <c r="AI39" i="53"/>
  <c r="AJ39" i="53"/>
  <c r="G40" i="53"/>
  <c r="H40" i="53"/>
  <c r="I40" i="53"/>
  <c r="J40" i="53"/>
  <c r="K40" i="53"/>
  <c r="L40" i="53"/>
  <c r="M40" i="53"/>
  <c r="N40" i="53"/>
  <c r="O40" i="53"/>
  <c r="P40" i="53"/>
  <c r="Q40" i="53"/>
  <c r="R40" i="53"/>
  <c r="S40" i="53"/>
  <c r="T40" i="53"/>
  <c r="U40" i="53"/>
  <c r="V40" i="53"/>
  <c r="W40" i="53"/>
  <c r="X40" i="53"/>
  <c r="Y40" i="53"/>
  <c r="Z40" i="53"/>
  <c r="AA40" i="53"/>
  <c r="AB40" i="53"/>
  <c r="AC40" i="53"/>
  <c r="AD40" i="53"/>
  <c r="AE40" i="53"/>
  <c r="AF40" i="53"/>
  <c r="AG40" i="53"/>
  <c r="AH40" i="53"/>
  <c r="AI40" i="53"/>
  <c r="AJ40" i="53"/>
  <c r="G41" i="53"/>
  <c r="H41" i="53"/>
  <c r="I41" i="53"/>
  <c r="J41" i="53"/>
  <c r="K41" i="53"/>
  <c r="L41" i="53"/>
  <c r="M41" i="53"/>
  <c r="N41" i="53"/>
  <c r="O41" i="53"/>
  <c r="P41" i="53"/>
  <c r="Q41" i="53"/>
  <c r="R41" i="53"/>
  <c r="S41" i="53"/>
  <c r="T41" i="53"/>
  <c r="U41" i="53"/>
  <c r="V41" i="53"/>
  <c r="W41" i="53"/>
  <c r="X41" i="53"/>
  <c r="Y41" i="53"/>
  <c r="Z41" i="53"/>
  <c r="AA41" i="53"/>
  <c r="AB41" i="53"/>
  <c r="AC41" i="53"/>
  <c r="AD41" i="53"/>
  <c r="AE41" i="53"/>
  <c r="AF41" i="53"/>
  <c r="AG41" i="53"/>
  <c r="AH41" i="53"/>
  <c r="AI41" i="53"/>
  <c r="AJ41" i="53"/>
  <c r="G42" i="53"/>
  <c r="H42" i="53"/>
  <c r="I42" i="53"/>
  <c r="J42" i="53"/>
  <c r="K42" i="53"/>
  <c r="L42" i="53"/>
  <c r="M42" i="53"/>
  <c r="N42" i="53"/>
  <c r="O42" i="53"/>
  <c r="P42" i="53"/>
  <c r="Q42" i="53"/>
  <c r="R42" i="53"/>
  <c r="S42" i="53"/>
  <c r="T42" i="53"/>
  <c r="U42" i="53"/>
  <c r="V42" i="53"/>
  <c r="W42" i="53"/>
  <c r="X42" i="53"/>
  <c r="Y42" i="53"/>
  <c r="Z42" i="53"/>
  <c r="AA42" i="53"/>
  <c r="AB42" i="53"/>
  <c r="AC42" i="53"/>
  <c r="AD42" i="53"/>
  <c r="AE42" i="53"/>
  <c r="AF42" i="53"/>
  <c r="AG42" i="53"/>
  <c r="AH42" i="53"/>
  <c r="AI42" i="53"/>
  <c r="AJ42" i="53"/>
  <c r="G43" i="53"/>
  <c r="H43" i="53"/>
  <c r="I43" i="53"/>
  <c r="J43" i="53"/>
  <c r="K43" i="53"/>
  <c r="L43" i="53"/>
  <c r="M43" i="53"/>
  <c r="N43" i="53"/>
  <c r="O43" i="53"/>
  <c r="P43" i="53"/>
  <c r="Q43" i="53"/>
  <c r="R43" i="53"/>
  <c r="S43" i="53"/>
  <c r="T43" i="53"/>
  <c r="U43" i="53"/>
  <c r="V43" i="53"/>
  <c r="W43" i="53"/>
  <c r="X43" i="53"/>
  <c r="Y43" i="53"/>
  <c r="Z43" i="53"/>
  <c r="AA43" i="53"/>
  <c r="AB43" i="53"/>
  <c r="AC43" i="53"/>
  <c r="AD43" i="53"/>
  <c r="AE43" i="53"/>
  <c r="AF43" i="53"/>
  <c r="AG43" i="53"/>
  <c r="AH43" i="53"/>
  <c r="AI43" i="53"/>
  <c r="AJ43" i="53"/>
  <c r="G44" i="53"/>
  <c r="H44" i="53"/>
  <c r="I44" i="53"/>
  <c r="J44" i="53"/>
  <c r="K44" i="53"/>
  <c r="L44" i="53"/>
  <c r="M44" i="53"/>
  <c r="N44" i="53"/>
  <c r="O44" i="53"/>
  <c r="P44" i="53"/>
  <c r="Q44" i="53"/>
  <c r="R44" i="53"/>
  <c r="S44" i="53"/>
  <c r="T44" i="53"/>
  <c r="U44" i="53"/>
  <c r="V44" i="53"/>
  <c r="W44" i="53"/>
  <c r="X44" i="53"/>
  <c r="Y44" i="53"/>
  <c r="Z44" i="53"/>
  <c r="AA44" i="53"/>
  <c r="AB44" i="53"/>
  <c r="AC44" i="53"/>
  <c r="AD44" i="53"/>
  <c r="AE44" i="53"/>
  <c r="AF44" i="53"/>
  <c r="AG44" i="53"/>
  <c r="AH44" i="53"/>
  <c r="AI44" i="53"/>
  <c r="AJ44" i="53"/>
  <c r="G45" i="53"/>
  <c r="H45" i="53"/>
  <c r="I45" i="53"/>
  <c r="J45" i="53"/>
  <c r="K45" i="53"/>
  <c r="L45" i="53"/>
  <c r="M45" i="53"/>
  <c r="N45" i="53"/>
  <c r="O45" i="53"/>
  <c r="P45" i="53"/>
  <c r="Q45" i="53"/>
  <c r="R45" i="53"/>
  <c r="S45" i="53"/>
  <c r="T45" i="53"/>
  <c r="U45" i="53"/>
  <c r="V45" i="53"/>
  <c r="W45" i="53"/>
  <c r="X45" i="53"/>
  <c r="Y45" i="53"/>
  <c r="Z45" i="53"/>
  <c r="AA45" i="53"/>
  <c r="AB45" i="53"/>
  <c r="AC45" i="53"/>
  <c r="AD45" i="53"/>
  <c r="AE45" i="53"/>
  <c r="AF45" i="53"/>
  <c r="AG45" i="53"/>
  <c r="AH45" i="53"/>
  <c r="AI45" i="53"/>
  <c r="AJ45" i="53"/>
  <c r="G46" i="53"/>
  <c r="H46" i="53"/>
  <c r="I46" i="53"/>
  <c r="J46" i="53"/>
  <c r="K46" i="53"/>
  <c r="L46" i="53"/>
  <c r="M46" i="53"/>
  <c r="N46" i="53"/>
  <c r="O46" i="53"/>
  <c r="P46" i="53"/>
  <c r="Q46" i="53"/>
  <c r="R46" i="53"/>
  <c r="S46" i="53"/>
  <c r="T46" i="53"/>
  <c r="U46" i="53"/>
  <c r="V46" i="53"/>
  <c r="W46" i="53"/>
  <c r="X46" i="53"/>
  <c r="Y46" i="53"/>
  <c r="Z46" i="53"/>
  <c r="AA46" i="53"/>
  <c r="AB46" i="53"/>
  <c r="AC46" i="53"/>
  <c r="AD46" i="53"/>
  <c r="AE46" i="53"/>
  <c r="AF46" i="53"/>
  <c r="AG46" i="53"/>
  <c r="AH46" i="53"/>
  <c r="AI46" i="53"/>
  <c r="AJ46" i="53"/>
  <c r="G47" i="53"/>
  <c r="H47" i="53"/>
  <c r="I47" i="53"/>
  <c r="J47" i="53"/>
  <c r="K47" i="53"/>
  <c r="L47" i="53"/>
  <c r="M47" i="53"/>
  <c r="N47" i="53"/>
  <c r="O47" i="53"/>
  <c r="P47" i="53"/>
  <c r="Q47" i="53"/>
  <c r="R47" i="53"/>
  <c r="S47" i="53"/>
  <c r="T47" i="53"/>
  <c r="U47" i="53"/>
  <c r="V47" i="53"/>
  <c r="W47" i="53"/>
  <c r="X47" i="53"/>
  <c r="Y47" i="53"/>
  <c r="Z47" i="53"/>
  <c r="AA47" i="53"/>
  <c r="AB47" i="53"/>
  <c r="AC47" i="53"/>
  <c r="AD47" i="53"/>
  <c r="AE47" i="53"/>
  <c r="AF47" i="53"/>
  <c r="AG47" i="53"/>
  <c r="AH47" i="53"/>
  <c r="AI47" i="53"/>
  <c r="AJ47" i="53"/>
  <c r="G48" i="53"/>
  <c r="H48" i="53"/>
  <c r="I48" i="53"/>
  <c r="J48" i="53"/>
  <c r="K48" i="53"/>
  <c r="L48" i="53"/>
  <c r="M48" i="53"/>
  <c r="N48" i="53"/>
  <c r="O48" i="53"/>
  <c r="P48" i="53"/>
  <c r="Q48" i="53"/>
  <c r="R48" i="53"/>
  <c r="S48" i="53"/>
  <c r="T48" i="53"/>
  <c r="U48" i="53"/>
  <c r="V48" i="53"/>
  <c r="W48" i="53"/>
  <c r="X48" i="53"/>
  <c r="Y48" i="53"/>
  <c r="Z48" i="53"/>
  <c r="AA48" i="53"/>
  <c r="AB48" i="53"/>
  <c r="AC48" i="53"/>
  <c r="AD48" i="53"/>
  <c r="AE48" i="53"/>
  <c r="AF48" i="53"/>
  <c r="AG48" i="53"/>
  <c r="AH48" i="53"/>
  <c r="AI48" i="53"/>
  <c r="AJ48" i="53"/>
  <c r="G49" i="53"/>
  <c r="H49" i="53"/>
  <c r="I49" i="53"/>
  <c r="J49" i="53"/>
  <c r="K49" i="53"/>
  <c r="L49" i="53"/>
  <c r="M49" i="53"/>
  <c r="N49" i="53"/>
  <c r="O49" i="53"/>
  <c r="P49" i="53"/>
  <c r="Q49" i="53"/>
  <c r="R49" i="53"/>
  <c r="S49" i="53"/>
  <c r="T49" i="53"/>
  <c r="U49" i="53"/>
  <c r="V49" i="53"/>
  <c r="W49" i="53"/>
  <c r="X49" i="53"/>
  <c r="Y49" i="53"/>
  <c r="Z49" i="53"/>
  <c r="AA49" i="53"/>
  <c r="AB49" i="53"/>
  <c r="AC49" i="53"/>
  <c r="AD49" i="53"/>
  <c r="AE49" i="53"/>
  <c r="AF49" i="53"/>
  <c r="AG49" i="53"/>
  <c r="AH49" i="53"/>
  <c r="AI49" i="53"/>
  <c r="AJ49" i="53"/>
  <c r="G50" i="53"/>
  <c r="H50" i="53"/>
  <c r="I50" i="53"/>
  <c r="J50" i="53"/>
  <c r="K50" i="53"/>
  <c r="L50" i="53"/>
  <c r="M50" i="53"/>
  <c r="N50" i="53"/>
  <c r="O50" i="53"/>
  <c r="P50" i="53"/>
  <c r="Q50" i="53"/>
  <c r="R50" i="53"/>
  <c r="S50" i="53"/>
  <c r="T50" i="53"/>
  <c r="U50" i="53"/>
  <c r="V50" i="53"/>
  <c r="W50" i="53"/>
  <c r="X50" i="53"/>
  <c r="Y50" i="53"/>
  <c r="Z50" i="53"/>
  <c r="AA50" i="53"/>
  <c r="AB50" i="53"/>
  <c r="AC50" i="53"/>
  <c r="AD50" i="53"/>
  <c r="AE50" i="53"/>
  <c r="AF50" i="53"/>
  <c r="AG50" i="53"/>
  <c r="AH50" i="53"/>
  <c r="AI50" i="53"/>
  <c r="AJ50" i="53"/>
  <c r="G51" i="53"/>
  <c r="H51" i="53"/>
  <c r="I51" i="53"/>
  <c r="J51" i="53"/>
  <c r="K51" i="53"/>
  <c r="L51" i="53"/>
  <c r="M51" i="53"/>
  <c r="N51" i="53"/>
  <c r="O51" i="53"/>
  <c r="P51" i="53"/>
  <c r="Q51" i="53"/>
  <c r="R51" i="53"/>
  <c r="S51" i="53"/>
  <c r="T51" i="53"/>
  <c r="U51" i="53"/>
  <c r="V51" i="53"/>
  <c r="W51" i="53"/>
  <c r="X51" i="53"/>
  <c r="Y51" i="53"/>
  <c r="Z51" i="53"/>
  <c r="AA51" i="53"/>
  <c r="AB51" i="53"/>
  <c r="AC51" i="53"/>
  <c r="AD51" i="53"/>
  <c r="AE51" i="53"/>
  <c r="AF51" i="53"/>
  <c r="AG51" i="53"/>
  <c r="AH51" i="53"/>
  <c r="AI51" i="53"/>
  <c r="AJ51" i="53"/>
  <c r="G52" i="53"/>
  <c r="H52" i="53"/>
  <c r="I52" i="53"/>
  <c r="J52" i="53"/>
  <c r="K52" i="53"/>
  <c r="L52" i="53"/>
  <c r="M52" i="53"/>
  <c r="N52" i="53"/>
  <c r="O52" i="53"/>
  <c r="P52" i="53"/>
  <c r="Q52" i="53"/>
  <c r="R52" i="53"/>
  <c r="S52" i="53"/>
  <c r="T52" i="53"/>
  <c r="U52" i="53"/>
  <c r="V52" i="53"/>
  <c r="W52" i="53"/>
  <c r="X52" i="53"/>
  <c r="Y52" i="53"/>
  <c r="Z52" i="53"/>
  <c r="AA52" i="53"/>
  <c r="AB52" i="53"/>
  <c r="AC52" i="53"/>
  <c r="AD52" i="53"/>
  <c r="AE52" i="53"/>
  <c r="AF52" i="53"/>
  <c r="AG52" i="53"/>
  <c r="AH52" i="53"/>
  <c r="AI52" i="53"/>
  <c r="AJ52" i="53"/>
  <c r="G53" i="53"/>
  <c r="H53" i="53"/>
  <c r="I53" i="53"/>
  <c r="J53" i="53"/>
  <c r="K53" i="53"/>
  <c r="L53" i="53"/>
  <c r="M53" i="53"/>
  <c r="N53" i="53"/>
  <c r="O53" i="53"/>
  <c r="P53" i="53"/>
  <c r="Q53" i="53"/>
  <c r="R53" i="53"/>
  <c r="S53" i="53"/>
  <c r="T53" i="53"/>
  <c r="U53" i="53"/>
  <c r="V53" i="53"/>
  <c r="W53" i="53"/>
  <c r="X53" i="53"/>
  <c r="Y53" i="53"/>
  <c r="Z53" i="53"/>
  <c r="AA53" i="53"/>
  <c r="AB53" i="53"/>
  <c r="AC53" i="53"/>
  <c r="AD53" i="53"/>
  <c r="AE53" i="53"/>
  <c r="AF53" i="53"/>
  <c r="AG53" i="53"/>
  <c r="AH53" i="53"/>
  <c r="AI53" i="53"/>
  <c r="AJ53" i="53"/>
  <c r="G54" i="53"/>
  <c r="H54" i="53"/>
  <c r="I54" i="53"/>
  <c r="J54" i="53"/>
  <c r="K54" i="53"/>
  <c r="L54" i="53"/>
  <c r="M54" i="53"/>
  <c r="N54" i="53"/>
  <c r="O54" i="53"/>
  <c r="P54" i="53"/>
  <c r="Q54" i="53"/>
  <c r="R54" i="53"/>
  <c r="S54" i="53"/>
  <c r="T54" i="53"/>
  <c r="U54" i="53"/>
  <c r="V54" i="53"/>
  <c r="W54" i="53"/>
  <c r="X54" i="53"/>
  <c r="Y54" i="53"/>
  <c r="Z54" i="53"/>
  <c r="AA54" i="53"/>
  <c r="AB54" i="53"/>
  <c r="AC54" i="53"/>
  <c r="AD54" i="53"/>
  <c r="AE54" i="53"/>
  <c r="AF54" i="53"/>
  <c r="AG54" i="53"/>
  <c r="AH54" i="53"/>
  <c r="AI54" i="53"/>
  <c r="AJ54" i="53"/>
  <c r="G55" i="53"/>
  <c r="H55" i="53"/>
  <c r="I55" i="53"/>
  <c r="J55" i="53"/>
  <c r="K55" i="53"/>
  <c r="L55" i="53"/>
  <c r="M55" i="53"/>
  <c r="N55" i="53"/>
  <c r="O55" i="53"/>
  <c r="P55" i="53"/>
  <c r="Q55" i="53"/>
  <c r="R55" i="53"/>
  <c r="S55" i="53"/>
  <c r="T55" i="53"/>
  <c r="U55" i="53"/>
  <c r="V55" i="53"/>
  <c r="W55" i="53"/>
  <c r="X55" i="53"/>
  <c r="Y55" i="53"/>
  <c r="Z55" i="53"/>
  <c r="AA55" i="53"/>
  <c r="AB55" i="53"/>
  <c r="AC55" i="53"/>
  <c r="AD55" i="53"/>
  <c r="AE55" i="53"/>
  <c r="AF55" i="53"/>
  <c r="AG55" i="53"/>
  <c r="AH55" i="53"/>
  <c r="AI55" i="53"/>
  <c r="AJ55" i="53"/>
  <c r="G56" i="53"/>
  <c r="H56" i="53"/>
  <c r="I56" i="53"/>
  <c r="J56" i="53"/>
  <c r="K56" i="53"/>
  <c r="L56" i="53"/>
  <c r="M56" i="53"/>
  <c r="N56" i="53"/>
  <c r="O56" i="53"/>
  <c r="P56" i="53"/>
  <c r="Q56" i="53"/>
  <c r="R56" i="53"/>
  <c r="S56" i="53"/>
  <c r="T56" i="53"/>
  <c r="U56" i="53"/>
  <c r="V56" i="53"/>
  <c r="W56" i="53"/>
  <c r="X56" i="53"/>
  <c r="Y56" i="53"/>
  <c r="Z56" i="53"/>
  <c r="AA56" i="53"/>
  <c r="AB56" i="53"/>
  <c r="AC56" i="53"/>
  <c r="AD56" i="53"/>
  <c r="AE56" i="53"/>
  <c r="AF56" i="53"/>
  <c r="AG56" i="53"/>
  <c r="AH56" i="53"/>
  <c r="AI56" i="53"/>
  <c r="AJ56" i="53"/>
  <c r="G57" i="53"/>
  <c r="H57" i="53"/>
  <c r="I57" i="53"/>
  <c r="J57" i="53"/>
  <c r="K57" i="53"/>
  <c r="L57" i="53"/>
  <c r="M57" i="53"/>
  <c r="N57" i="53"/>
  <c r="O57" i="53"/>
  <c r="P57" i="53"/>
  <c r="Q57" i="53"/>
  <c r="R57" i="53"/>
  <c r="S57" i="53"/>
  <c r="T57" i="53"/>
  <c r="U57" i="53"/>
  <c r="V57" i="53"/>
  <c r="W57" i="53"/>
  <c r="X57" i="53"/>
  <c r="Y57" i="53"/>
  <c r="Z57" i="53"/>
  <c r="AA57" i="53"/>
  <c r="AB57" i="53"/>
  <c r="AC57" i="53"/>
  <c r="AD57" i="53"/>
  <c r="AE57" i="53"/>
  <c r="AF57" i="53"/>
  <c r="AG57" i="53"/>
  <c r="AH57" i="53"/>
  <c r="AI57" i="53"/>
  <c r="AJ57" i="53"/>
  <c r="G58" i="53"/>
  <c r="H58" i="53"/>
  <c r="I58" i="53"/>
  <c r="J58" i="53"/>
  <c r="K58" i="53"/>
  <c r="L58" i="53"/>
  <c r="M58" i="53"/>
  <c r="N58" i="53"/>
  <c r="O58" i="53"/>
  <c r="P58" i="53"/>
  <c r="Q58" i="53"/>
  <c r="R58" i="53"/>
  <c r="S58" i="53"/>
  <c r="T58" i="53"/>
  <c r="U58" i="53"/>
  <c r="V58" i="53"/>
  <c r="W58" i="53"/>
  <c r="X58" i="53"/>
  <c r="Y58" i="53"/>
  <c r="Z58" i="53"/>
  <c r="AA58" i="53"/>
  <c r="AB58" i="53"/>
  <c r="AC58" i="53"/>
  <c r="AD58" i="53"/>
  <c r="AE58" i="53"/>
  <c r="AF58" i="53"/>
  <c r="AG58" i="53"/>
  <c r="AH58" i="53"/>
  <c r="AI58" i="53"/>
  <c r="AJ58" i="53"/>
  <c r="G59" i="53"/>
  <c r="H59" i="53"/>
  <c r="I59" i="53"/>
  <c r="J59" i="53"/>
  <c r="K59" i="53"/>
  <c r="L59" i="53"/>
  <c r="M59" i="53"/>
  <c r="N59" i="53"/>
  <c r="O59" i="53"/>
  <c r="P59" i="53"/>
  <c r="Q59" i="53"/>
  <c r="R59" i="53"/>
  <c r="S59" i="53"/>
  <c r="T59" i="53"/>
  <c r="U59" i="53"/>
  <c r="V59" i="53"/>
  <c r="W59" i="53"/>
  <c r="X59" i="53"/>
  <c r="Y59" i="53"/>
  <c r="Z59" i="53"/>
  <c r="AA59" i="53"/>
  <c r="AB59" i="53"/>
  <c r="AC59" i="53"/>
  <c r="AD59" i="53"/>
  <c r="AE59" i="53"/>
  <c r="AF59" i="53"/>
  <c r="AG59" i="53"/>
  <c r="AH59" i="53"/>
  <c r="AI59" i="53"/>
  <c r="AJ59" i="53"/>
  <c r="G60" i="53"/>
  <c r="H60" i="53"/>
  <c r="I60" i="53"/>
  <c r="J60" i="53"/>
  <c r="K60" i="53"/>
  <c r="L60" i="53"/>
  <c r="M60" i="53"/>
  <c r="N60" i="53"/>
  <c r="O60" i="53"/>
  <c r="P60" i="53"/>
  <c r="Q60" i="53"/>
  <c r="S60" i="53"/>
  <c r="T60" i="53"/>
  <c r="U60" i="53"/>
  <c r="V60" i="53"/>
  <c r="W60" i="53"/>
  <c r="X60" i="53"/>
  <c r="Y60" i="53"/>
  <c r="Z60" i="53"/>
  <c r="AA60" i="53"/>
  <c r="AB60" i="53"/>
  <c r="AC60" i="53"/>
  <c r="AD60" i="53"/>
  <c r="AE60" i="53"/>
  <c r="AF60" i="53"/>
  <c r="AG60" i="53"/>
  <c r="AH60" i="53"/>
  <c r="AI60" i="53"/>
  <c r="AJ60" i="53"/>
  <c r="F61" i="55"/>
  <c r="H61" i="55"/>
  <c r="J61" i="55"/>
  <c r="L61" i="55"/>
  <c r="N61" i="55"/>
  <c r="P61" i="55"/>
  <c r="R61" i="55"/>
  <c r="T61" i="55"/>
  <c r="V61" i="55"/>
  <c r="X61" i="55"/>
  <c r="Z61" i="55"/>
  <c r="AB61" i="55"/>
  <c r="AD61" i="55"/>
  <c r="AF61" i="55"/>
  <c r="AH61" i="55"/>
  <c r="V4" i="4"/>
  <c r="V35" i="4"/>
  <c r="AG35" i="52"/>
  <c r="AG36" i="52"/>
  <c r="AG37" i="52"/>
  <c r="AG39" i="52"/>
  <c r="AG40" i="52"/>
  <c r="AG41" i="52"/>
  <c r="AG42" i="52"/>
  <c r="AG43" i="52"/>
  <c r="AG44" i="52"/>
  <c r="AG61" i="52" s="1"/>
  <c r="AG45" i="52"/>
  <c r="AG46" i="52"/>
  <c r="AG47" i="52"/>
  <c r="AG48" i="52"/>
  <c r="AG49" i="52"/>
  <c r="AG50" i="52"/>
  <c r="AG51" i="52"/>
  <c r="AG52" i="52"/>
  <c r="AG53" i="52"/>
  <c r="AG54" i="52"/>
  <c r="AG55" i="52"/>
  <c r="AG56" i="52"/>
  <c r="AG57" i="52"/>
  <c r="AG58" i="52"/>
  <c r="AG59" i="52"/>
  <c r="AF59" i="52"/>
  <c r="AE59" i="52"/>
  <c r="AD59" i="52"/>
  <c r="AC59" i="52"/>
  <c r="AB59" i="52"/>
  <c r="AA59" i="52"/>
  <c r="Z59" i="52"/>
  <c r="Y59" i="52"/>
  <c r="X59" i="52"/>
  <c r="W59" i="52"/>
  <c r="V59" i="52"/>
  <c r="U59" i="52"/>
  <c r="S59" i="52"/>
  <c r="R59" i="52"/>
  <c r="Q59" i="52"/>
  <c r="P59" i="52"/>
  <c r="O59" i="52"/>
  <c r="N59" i="52"/>
  <c r="M59" i="52"/>
  <c r="L59" i="52"/>
  <c r="K59" i="52"/>
  <c r="J59" i="52"/>
  <c r="I59" i="52"/>
  <c r="H59" i="52"/>
  <c r="G59" i="52"/>
  <c r="F59" i="52"/>
  <c r="AF58" i="52"/>
  <c r="AE58" i="52"/>
  <c r="AD58" i="52"/>
  <c r="AC58" i="52"/>
  <c r="AB58" i="52"/>
  <c r="AA58" i="52"/>
  <c r="Z58" i="52"/>
  <c r="Y58" i="52"/>
  <c r="X58" i="52"/>
  <c r="W58" i="52"/>
  <c r="V58" i="52"/>
  <c r="U58" i="52"/>
  <c r="S58" i="52"/>
  <c r="R58" i="52"/>
  <c r="Q58" i="52"/>
  <c r="P58" i="52"/>
  <c r="O58" i="52"/>
  <c r="N58" i="52"/>
  <c r="M58" i="52"/>
  <c r="L58" i="52"/>
  <c r="K58" i="52"/>
  <c r="J58" i="52"/>
  <c r="I58" i="52"/>
  <c r="H58" i="52"/>
  <c r="G58" i="52"/>
  <c r="F58" i="52"/>
  <c r="AF57" i="52"/>
  <c r="AE57" i="52"/>
  <c r="AD57" i="52"/>
  <c r="AC57" i="52"/>
  <c r="AB57" i="52"/>
  <c r="AA57" i="52"/>
  <c r="Z57" i="52"/>
  <c r="Y57" i="52"/>
  <c r="X57" i="52"/>
  <c r="W57" i="52"/>
  <c r="V57" i="52"/>
  <c r="U57" i="52"/>
  <c r="S57" i="52"/>
  <c r="R57" i="52"/>
  <c r="Q57" i="52"/>
  <c r="P57" i="52"/>
  <c r="O57" i="52"/>
  <c r="N57" i="52"/>
  <c r="M57" i="52"/>
  <c r="L57" i="52"/>
  <c r="K57" i="52"/>
  <c r="J57" i="52"/>
  <c r="I57" i="52"/>
  <c r="H57" i="52"/>
  <c r="G57" i="52"/>
  <c r="F57" i="52"/>
  <c r="AF56" i="52"/>
  <c r="AE56" i="52"/>
  <c r="AD56" i="52"/>
  <c r="AC56" i="52"/>
  <c r="AB56" i="52"/>
  <c r="AA56" i="52"/>
  <c r="Z56" i="52"/>
  <c r="Y56" i="52"/>
  <c r="X56" i="52"/>
  <c r="W56" i="52"/>
  <c r="V56" i="52"/>
  <c r="U56" i="52"/>
  <c r="S56" i="52"/>
  <c r="R56" i="52"/>
  <c r="Q56" i="52"/>
  <c r="P56" i="52"/>
  <c r="O56" i="52"/>
  <c r="N56" i="52"/>
  <c r="M56" i="52"/>
  <c r="L56" i="52"/>
  <c r="K56" i="52"/>
  <c r="J56" i="52"/>
  <c r="I56" i="52"/>
  <c r="H56" i="52"/>
  <c r="G56" i="52"/>
  <c r="F56" i="52"/>
  <c r="AF55" i="52"/>
  <c r="AE55" i="52"/>
  <c r="AD55" i="52"/>
  <c r="AC55" i="52"/>
  <c r="AB55" i="52"/>
  <c r="AA55" i="52"/>
  <c r="Z55" i="52"/>
  <c r="Y55" i="52"/>
  <c r="X55" i="52"/>
  <c r="W55" i="52"/>
  <c r="V55" i="52"/>
  <c r="U55" i="52"/>
  <c r="S55" i="52"/>
  <c r="R55" i="52"/>
  <c r="Q55" i="52"/>
  <c r="P55" i="52"/>
  <c r="O55" i="52"/>
  <c r="N55" i="52"/>
  <c r="M55" i="52"/>
  <c r="L55" i="52"/>
  <c r="K55" i="52"/>
  <c r="J55" i="52"/>
  <c r="I55" i="52"/>
  <c r="H55" i="52"/>
  <c r="G55" i="52"/>
  <c r="F55" i="52"/>
  <c r="AF54" i="52"/>
  <c r="AE54" i="52"/>
  <c r="AD54" i="52"/>
  <c r="AC54" i="52"/>
  <c r="AB54" i="52"/>
  <c r="AA54" i="52"/>
  <c r="Z54" i="52"/>
  <c r="Y54" i="52"/>
  <c r="X54" i="52"/>
  <c r="W54" i="52"/>
  <c r="V54" i="52"/>
  <c r="U54" i="52"/>
  <c r="S54" i="52"/>
  <c r="R54" i="52"/>
  <c r="Q54" i="52"/>
  <c r="P54" i="52"/>
  <c r="O54" i="52"/>
  <c r="N54" i="52"/>
  <c r="M54" i="52"/>
  <c r="L54" i="52"/>
  <c r="K54" i="52"/>
  <c r="J54" i="52"/>
  <c r="I54" i="52"/>
  <c r="H54" i="52"/>
  <c r="G54" i="52"/>
  <c r="F54" i="52"/>
  <c r="AF53" i="52"/>
  <c r="AE53" i="52"/>
  <c r="AD53" i="52"/>
  <c r="AC53" i="52"/>
  <c r="AB53" i="52"/>
  <c r="AA53" i="52"/>
  <c r="Z53" i="52"/>
  <c r="Y53" i="52"/>
  <c r="X53" i="52"/>
  <c r="W53" i="52"/>
  <c r="V53" i="52"/>
  <c r="U53" i="52"/>
  <c r="S53" i="52"/>
  <c r="R53" i="52"/>
  <c r="Q53" i="52"/>
  <c r="P53" i="52"/>
  <c r="O53" i="52"/>
  <c r="N53" i="52"/>
  <c r="M53" i="52"/>
  <c r="L53" i="52"/>
  <c r="K53" i="52"/>
  <c r="J53" i="52"/>
  <c r="I53" i="52"/>
  <c r="H53" i="52"/>
  <c r="G53" i="52"/>
  <c r="F53" i="52"/>
  <c r="AF52" i="52"/>
  <c r="AE52" i="52"/>
  <c r="AD52" i="52"/>
  <c r="AC52" i="52"/>
  <c r="AB52" i="52"/>
  <c r="AA52" i="52"/>
  <c r="Z52" i="52"/>
  <c r="Y52" i="52"/>
  <c r="X52" i="52"/>
  <c r="W52" i="52"/>
  <c r="V52" i="52"/>
  <c r="U52" i="52"/>
  <c r="S52" i="52"/>
  <c r="R52" i="52"/>
  <c r="Q52" i="52"/>
  <c r="P52" i="52"/>
  <c r="O52" i="52"/>
  <c r="N52" i="52"/>
  <c r="M52" i="52"/>
  <c r="L52" i="52"/>
  <c r="K52" i="52"/>
  <c r="J52" i="52"/>
  <c r="I52" i="52"/>
  <c r="H52" i="52"/>
  <c r="G52" i="52"/>
  <c r="F52" i="52"/>
  <c r="AF51" i="52"/>
  <c r="AE51" i="52"/>
  <c r="AD51" i="52"/>
  <c r="AC51" i="52"/>
  <c r="AB51" i="52"/>
  <c r="AA51" i="52"/>
  <c r="Z51" i="52"/>
  <c r="Y51" i="52"/>
  <c r="X51" i="52"/>
  <c r="W51" i="52"/>
  <c r="V51" i="52"/>
  <c r="U51" i="52"/>
  <c r="S51" i="52"/>
  <c r="R51" i="52"/>
  <c r="Q51" i="52"/>
  <c r="P51" i="52"/>
  <c r="O51" i="52"/>
  <c r="N51" i="52"/>
  <c r="M51" i="52"/>
  <c r="L51" i="52"/>
  <c r="K51" i="52"/>
  <c r="J51" i="52"/>
  <c r="I51" i="52"/>
  <c r="H51" i="52"/>
  <c r="G51" i="52"/>
  <c r="F51" i="52"/>
  <c r="AF50" i="52"/>
  <c r="AE50" i="52"/>
  <c r="AD50" i="52"/>
  <c r="AC50" i="52"/>
  <c r="AB50" i="52"/>
  <c r="AA50" i="52"/>
  <c r="Z50" i="52"/>
  <c r="Y50" i="52"/>
  <c r="X50" i="52"/>
  <c r="W50" i="52"/>
  <c r="V50" i="52"/>
  <c r="U50" i="52"/>
  <c r="S50" i="52"/>
  <c r="R50" i="52"/>
  <c r="Q50" i="52"/>
  <c r="P50" i="52"/>
  <c r="O50" i="52"/>
  <c r="N50" i="52"/>
  <c r="M50" i="52"/>
  <c r="L50" i="52"/>
  <c r="K50" i="52"/>
  <c r="J50" i="52"/>
  <c r="I50" i="52"/>
  <c r="H50" i="52"/>
  <c r="G50" i="52"/>
  <c r="F50" i="52"/>
  <c r="AF49" i="52"/>
  <c r="AE49" i="52"/>
  <c r="AD49" i="52"/>
  <c r="AC49" i="52"/>
  <c r="AB49" i="52"/>
  <c r="AA49" i="52"/>
  <c r="Z49" i="52"/>
  <c r="Y49" i="52"/>
  <c r="X49" i="52"/>
  <c r="W49" i="52"/>
  <c r="V49" i="52"/>
  <c r="U49" i="52"/>
  <c r="S49" i="52"/>
  <c r="R49" i="52"/>
  <c r="Q49" i="52"/>
  <c r="P49" i="52"/>
  <c r="O49" i="52"/>
  <c r="N49" i="52"/>
  <c r="M49" i="52"/>
  <c r="L49" i="52"/>
  <c r="K49" i="52"/>
  <c r="J49" i="52"/>
  <c r="I49" i="52"/>
  <c r="H49" i="52"/>
  <c r="G49" i="52"/>
  <c r="F49" i="52"/>
  <c r="AF48" i="52"/>
  <c r="AE48" i="52"/>
  <c r="AD48" i="52"/>
  <c r="AC48" i="52"/>
  <c r="AB48" i="52"/>
  <c r="AA48" i="52"/>
  <c r="Z48" i="52"/>
  <c r="Y48" i="52"/>
  <c r="X48" i="52"/>
  <c r="W48" i="52"/>
  <c r="V48" i="52"/>
  <c r="U48" i="52"/>
  <c r="S48" i="52"/>
  <c r="R48" i="52"/>
  <c r="Q48" i="52"/>
  <c r="P48" i="52"/>
  <c r="O48" i="52"/>
  <c r="N48" i="52"/>
  <c r="M48" i="52"/>
  <c r="L48" i="52"/>
  <c r="K48" i="52"/>
  <c r="J48" i="52"/>
  <c r="I48" i="52"/>
  <c r="H48" i="52"/>
  <c r="G48" i="52"/>
  <c r="F48" i="52"/>
  <c r="AF47" i="52"/>
  <c r="AE47" i="52"/>
  <c r="AD47" i="52"/>
  <c r="AC47" i="52"/>
  <c r="AB47" i="52"/>
  <c r="AA47" i="52"/>
  <c r="Z47" i="52"/>
  <c r="Y47" i="52"/>
  <c r="X47" i="52"/>
  <c r="W47" i="52"/>
  <c r="V47" i="52"/>
  <c r="U47" i="52"/>
  <c r="S47" i="52"/>
  <c r="R47" i="52"/>
  <c r="Q47" i="52"/>
  <c r="P47" i="52"/>
  <c r="O47" i="52"/>
  <c r="N47" i="52"/>
  <c r="M47" i="52"/>
  <c r="L47" i="52"/>
  <c r="K47" i="52"/>
  <c r="J47" i="52"/>
  <c r="I47" i="52"/>
  <c r="H47" i="52"/>
  <c r="G47" i="52"/>
  <c r="F47" i="52"/>
  <c r="AF46" i="52"/>
  <c r="AE46" i="52"/>
  <c r="AD46" i="52"/>
  <c r="AC46" i="52"/>
  <c r="AB46" i="52"/>
  <c r="AA46" i="52"/>
  <c r="Z46" i="52"/>
  <c r="Y46" i="52"/>
  <c r="X46" i="52"/>
  <c r="W46" i="52"/>
  <c r="V46" i="52"/>
  <c r="U46" i="52"/>
  <c r="S46" i="52"/>
  <c r="R46" i="52"/>
  <c r="Q46" i="52"/>
  <c r="P46" i="52"/>
  <c r="O46" i="52"/>
  <c r="N46" i="52"/>
  <c r="M46" i="52"/>
  <c r="L46" i="52"/>
  <c r="K46" i="52"/>
  <c r="J46" i="52"/>
  <c r="I46" i="52"/>
  <c r="H46" i="52"/>
  <c r="G46" i="52"/>
  <c r="F46" i="52"/>
  <c r="AF45" i="52"/>
  <c r="AE45" i="52"/>
  <c r="AD45" i="52"/>
  <c r="AC45" i="52"/>
  <c r="AB45" i="52"/>
  <c r="AA45" i="52"/>
  <c r="AA61" i="52" s="1"/>
  <c r="Z45" i="52"/>
  <c r="Y45" i="52"/>
  <c r="X45" i="52"/>
  <c r="W45" i="52"/>
  <c r="V45" i="52"/>
  <c r="U45" i="52"/>
  <c r="S45" i="52"/>
  <c r="R45" i="52"/>
  <c r="Q45" i="52"/>
  <c r="P45" i="52"/>
  <c r="O45" i="52"/>
  <c r="N45" i="52"/>
  <c r="M45" i="52"/>
  <c r="L45" i="52"/>
  <c r="K45" i="52"/>
  <c r="J45" i="52"/>
  <c r="I45" i="52"/>
  <c r="H45" i="52"/>
  <c r="G45" i="52"/>
  <c r="F45" i="52"/>
  <c r="AF44" i="52"/>
  <c r="AE44" i="52"/>
  <c r="AD44" i="52"/>
  <c r="AC44" i="52"/>
  <c r="AB44" i="52"/>
  <c r="AA44" i="52"/>
  <c r="Z44" i="52"/>
  <c r="Y44" i="52"/>
  <c r="X44" i="52"/>
  <c r="W44" i="52"/>
  <c r="V44" i="52"/>
  <c r="U44" i="52"/>
  <c r="S44" i="52"/>
  <c r="R44" i="52"/>
  <c r="Q44" i="52"/>
  <c r="P44" i="52"/>
  <c r="O44" i="52"/>
  <c r="N44" i="52"/>
  <c r="M44" i="52"/>
  <c r="L44" i="52"/>
  <c r="K44" i="52"/>
  <c r="J44" i="52"/>
  <c r="I44" i="52"/>
  <c r="H44" i="52"/>
  <c r="G44" i="52"/>
  <c r="F44" i="52"/>
  <c r="AF43" i="52"/>
  <c r="AE43" i="52"/>
  <c r="AD43" i="52"/>
  <c r="AC43" i="52"/>
  <c r="AB43" i="52"/>
  <c r="AA43" i="52"/>
  <c r="Z43" i="52"/>
  <c r="Y43" i="52"/>
  <c r="X43" i="52"/>
  <c r="W43" i="52"/>
  <c r="V43" i="52"/>
  <c r="U43" i="52"/>
  <c r="S43" i="52"/>
  <c r="R43" i="52"/>
  <c r="Q43" i="52"/>
  <c r="P43" i="52"/>
  <c r="O43" i="52"/>
  <c r="N43" i="52"/>
  <c r="M43" i="52"/>
  <c r="L43" i="52"/>
  <c r="K43" i="52"/>
  <c r="J43" i="52"/>
  <c r="I43" i="52"/>
  <c r="H43" i="52"/>
  <c r="G43" i="52"/>
  <c r="F43" i="52"/>
  <c r="AF42" i="52"/>
  <c r="AE42" i="52"/>
  <c r="AD42" i="52"/>
  <c r="AC42" i="52"/>
  <c r="AB42" i="52"/>
  <c r="AA42" i="52"/>
  <c r="Z42" i="52"/>
  <c r="Y42" i="52"/>
  <c r="X42" i="52"/>
  <c r="W42" i="52"/>
  <c r="V42" i="52"/>
  <c r="U42" i="52"/>
  <c r="S42" i="52"/>
  <c r="R42" i="52"/>
  <c r="Q42" i="52"/>
  <c r="P42" i="52"/>
  <c r="O42" i="52"/>
  <c r="N42" i="52"/>
  <c r="M42" i="52"/>
  <c r="L42" i="52"/>
  <c r="K42" i="52"/>
  <c r="J42" i="52"/>
  <c r="I42" i="52"/>
  <c r="H42" i="52"/>
  <c r="F42" i="52"/>
  <c r="G42" i="48" s="1"/>
  <c r="AF41" i="52"/>
  <c r="AE41" i="52"/>
  <c r="AD41" i="52"/>
  <c r="AC41" i="52"/>
  <c r="AB41" i="52"/>
  <c r="AA41" i="52"/>
  <c r="Z41" i="52"/>
  <c r="Y41" i="52"/>
  <c r="X41" i="52"/>
  <c r="W41" i="52"/>
  <c r="V41" i="52"/>
  <c r="U41" i="52"/>
  <c r="S41" i="52"/>
  <c r="R41" i="52"/>
  <c r="Q41" i="52"/>
  <c r="P41" i="52"/>
  <c r="O41" i="52"/>
  <c r="N41" i="52"/>
  <c r="M41" i="52"/>
  <c r="L41" i="52"/>
  <c r="K41" i="52"/>
  <c r="J41" i="52"/>
  <c r="I41" i="52"/>
  <c r="H41" i="52"/>
  <c r="G41" i="52"/>
  <c r="F41" i="52"/>
  <c r="AF40" i="52"/>
  <c r="AE40" i="52"/>
  <c r="AD40" i="52"/>
  <c r="AC40" i="52"/>
  <c r="AB40" i="52"/>
  <c r="AA40" i="52"/>
  <c r="Z40" i="52"/>
  <c r="Y40" i="52"/>
  <c r="X40" i="52"/>
  <c r="W40" i="52"/>
  <c r="V40" i="52"/>
  <c r="U40" i="52"/>
  <c r="S40" i="52"/>
  <c r="R40" i="52"/>
  <c r="Q40" i="52"/>
  <c r="P40" i="52"/>
  <c r="O40" i="52"/>
  <c r="N40" i="52"/>
  <c r="M40" i="52"/>
  <c r="L40" i="52"/>
  <c r="K40" i="52"/>
  <c r="J40" i="52"/>
  <c r="I40" i="52"/>
  <c r="H40" i="52"/>
  <c r="G40" i="52"/>
  <c r="F40" i="52"/>
  <c r="AF39" i="52"/>
  <c r="AE39" i="52"/>
  <c r="AD39" i="52"/>
  <c r="AC39" i="52"/>
  <c r="AB39" i="52"/>
  <c r="AA39" i="52"/>
  <c r="Z39" i="52"/>
  <c r="Y39" i="52"/>
  <c r="X39" i="52"/>
  <c r="W39" i="52"/>
  <c r="V39" i="52"/>
  <c r="U39" i="52"/>
  <c r="S39" i="52"/>
  <c r="R39" i="52"/>
  <c r="Q39" i="52"/>
  <c r="P39" i="52"/>
  <c r="O39" i="52"/>
  <c r="N39" i="52"/>
  <c r="M39" i="52"/>
  <c r="L39" i="52"/>
  <c r="K39" i="52"/>
  <c r="J39" i="52"/>
  <c r="I39" i="52"/>
  <c r="H39" i="52"/>
  <c r="G39" i="52"/>
  <c r="F39" i="52"/>
  <c r="AF37" i="52"/>
  <c r="AE37" i="52"/>
  <c r="AD37" i="52"/>
  <c r="AC37" i="52"/>
  <c r="AB37" i="52"/>
  <c r="AC37" i="48" s="1"/>
  <c r="AA37" i="52"/>
  <c r="Z37" i="52"/>
  <c r="Y37" i="52"/>
  <c r="X37" i="52"/>
  <c r="W37" i="52"/>
  <c r="V37" i="52"/>
  <c r="U37" i="52"/>
  <c r="V37" i="48"/>
  <c r="S37" i="52"/>
  <c r="R37" i="52"/>
  <c r="Q37" i="52"/>
  <c r="P37" i="52"/>
  <c r="O37" i="52"/>
  <c r="N37" i="52"/>
  <c r="M37" i="52"/>
  <c r="L37" i="52"/>
  <c r="M37" i="48" s="1"/>
  <c r="K37" i="52"/>
  <c r="J37" i="52"/>
  <c r="I37" i="52"/>
  <c r="H37" i="52"/>
  <c r="G37" i="52"/>
  <c r="F37" i="52"/>
  <c r="G37" i="48"/>
  <c r="AF36" i="52"/>
  <c r="AE36" i="52"/>
  <c r="AD36" i="52"/>
  <c r="AC36" i="52"/>
  <c r="AB36" i="52"/>
  <c r="AC36" i="48" s="1"/>
  <c r="AA36" i="52"/>
  <c r="Z36" i="52"/>
  <c r="AA36" i="48"/>
  <c r="Y36" i="52"/>
  <c r="X36" i="52"/>
  <c r="W36" i="52"/>
  <c r="V36" i="52"/>
  <c r="U36" i="52"/>
  <c r="S36" i="52"/>
  <c r="T36" i="48"/>
  <c r="R36" i="52"/>
  <c r="S36" i="48" s="1"/>
  <c r="Q36" i="52"/>
  <c r="P36" i="52"/>
  <c r="O36" i="52"/>
  <c r="N36" i="52"/>
  <c r="M36" i="52"/>
  <c r="L36" i="52"/>
  <c r="K36" i="52"/>
  <c r="L36" i="48" s="1"/>
  <c r="J36" i="52"/>
  <c r="I36" i="52"/>
  <c r="H36" i="52"/>
  <c r="G36" i="52"/>
  <c r="F36" i="52"/>
  <c r="G36" i="48" s="1"/>
  <c r="AF35" i="52"/>
  <c r="AE35" i="52"/>
  <c r="AD35" i="52"/>
  <c r="AC35" i="52"/>
  <c r="AB35" i="52"/>
  <c r="AA35" i="52"/>
  <c r="Z35" i="52"/>
  <c r="Y35" i="52"/>
  <c r="X35" i="52"/>
  <c r="W35" i="52"/>
  <c r="V35" i="52"/>
  <c r="U35" i="52"/>
  <c r="S35" i="52"/>
  <c r="R35" i="52"/>
  <c r="Q35" i="52"/>
  <c r="P35" i="52"/>
  <c r="O35" i="52"/>
  <c r="N35" i="52"/>
  <c r="M35" i="52"/>
  <c r="L35" i="52"/>
  <c r="K35" i="52"/>
  <c r="J35" i="52"/>
  <c r="I35" i="52"/>
  <c r="H35" i="52"/>
  <c r="G35" i="52"/>
  <c r="F35" i="52"/>
  <c r="E36" i="52"/>
  <c r="E37" i="52"/>
  <c r="E39" i="52"/>
  <c r="E40" i="52"/>
  <c r="E41" i="52"/>
  <c r="E42" i="52"/>
  <c r="E43" i="52"/>
  <c r="E44" i="52"/>
  <c r="E45" i="52"/>
  <c r="E46" i="52"/>
  <c r="E47" i="52"/>
  <c r="E48" i="52"/>
  <c r="E49" i="52"/>
  <c r="E50" i="52"/>
  <c r="E51" i="52"/>
  <c r="E52" i="52"/>
  <c r="E53" i="52"/>
  <c r="E54" i="52"/>
  <c r="E55" i="52"/>
  <c r="E56" i="52"/>
  <c r="E57" i="52"/>
  <c r="E58" i="52"/>
  <c r="E59" i="52"/>
  <c r="G29" i="58"/>
  <c r="H29" i="58"/>
  <c r="I29" i="58"/>
  <c r="J29" i="58"/>
  <c r="K29" i="58"/>
  <c r="L29" i="58"/>
  <c r="M29" i="58"/>
  <c r="N29" i="58"/>
  <c r="O29" i="58"/>
  <c r="P29" i="58"/>
  <c r="Q29" i="58"/>
  <c r="R29" i="58"/>
  <c r="S29" i="58"/>
  <c r="T29" i="58"/>
  <c r="U29" i="58"/>
  <c r="V29" i="58"/>
  <c r="W29" i="58"/>
  <c r="X29" i="58"/>
  <c r="Y29" i="58"/>
  <c r="Z29" i="58"/>
  <c r="AA29" i="58"/>
  <c r="AB29" i="58"/>
  <c r="AC29" i="58"/>
  <c r="AD29" i="58"/>
  <c r="AE29" i="58"/>
  <c r="AF29" i="58"/>
  <c r="AG29" i="58"/>
  <c r="F29" i="58"/>
  <c r="F60" i="52"/>
  <c r="G60" i="52"/>
  <c r="H60" i="52"/>
  <c r="I60" i="52"/>
  <c r="J60" i="52"/>
  <c r="K60" i="52"/>
  <c r="L60" i="52"/>
  <c r="N60" i="52"/>
  <c r="O60" i="52"/>
  <c r="P60" i="52"/>
  <c r="M60" i="52"/>
  <c r="Q60" i="52"/>
  <c r="R60" i="52"/>
  <c r="S60" i="52"/>
  <c r="U60" i="52"/>
  <c r="V60" i="52"/>
  <c r="W60" i="52"/>
  <c r="X60" i="52"/>
  <c r="Y60" i="52"/>
  <c r="Z60" i="52"/>
  <c r="AA60" i="52"/>
  <c r="AB60" i="52"/>
  <c r="AC60" i="52"/>
  <c r="AD60" i="52"/>
  <c r="AE60" i="52"/>
  <c r="AF60" i="52"/>
  <c r="AG60" i="52"/>
  <c r="E60" i="52"/>
  <c r="AG30" i="52"/>
  <c r="AD30" i="52"/>
  <c r="AC30" i="52"/>
  <c r="AA30" i="52"/>
  <c r="Z30" i="52"/>
  <c r="V30" i="52"/>
  <c r="U30" i="52"/>
  <c r="S30" i="52"/>
  <c r="O30" i="52"/>
  <c r="N30" i="52"/>
  <c r="M30" i="52"/>
  <c r="L30" i="52"/>
  <c r="K30" i="52"/>
  <c r="AJ14" i="52"/>
  <c r="AJ4" i="52"/>
  <c r="AJ13" i="52"/>
  <c r="AJ21" i="52"/>
  <c r="I30" i="52"/>
  <c r="AJ12" i="52"/>
  <c r="AJ20" i="52"/>
  <c r="G30" i="52"/>
  <c r="AJ11" i="52"/>
  <c r="AJ19" i="52"/>
  <c r="F30" i="52"/>
  <c r="AJ23" i="52"/>
  <c r="AJ6" i="52"/>
  <c r="AJ8" i="52"/>
  <c r="AJ9" i="52"/>
  <c r="AJ10" i="52"/>
  <c r="AJ15" i="52"/>
  <c r="AJ16" i="52"/>
  <c r="AJ17" i="52"/>
  <c r="AJ24" i="52"/>
  <c r="AJ25" i="52"/>
  <c r="AJ26" i="52"/>
  <c r="E28" i="36"/>
  <c r="D28" i="36"/>
  <c r="F35" i="4"/>
  <c r="G35" i="48" s="1"/>
  <c r="G35" i="4"/>
  <c r="H35" i="4"/>
  <c r="I35" i="48" s="1"/>
  <c r="I35" i="4"/>
  <c r="J35" i="4"/>
  <c r="K35" i="4"/>
  <c r="L35" i="4"/>
  <c r="M35" i="48" s="1"/>
  <c r="M35" i="4"/>
  <c r="N35" i="4"/>
  <c r="O35" i="48" s="1"/>
  <c r="O35" i="4"/>
  <c r="Q35" i="4"/>
  <c r="R35" i="4"/>
  <c r="S35" i="48" s="1"/>
  <c r="S35" i="4"/>
  <c r="T35" i="48" s="1"/>
  <c r="T35" i="4"/>
  <c r="U35" i="4"/>
  <c r="W35" i="4"/>
  <c r="X35" i="4"/>
  <c r="Y35" i="4"/>
  <c r="Z35" i="4"/>
  <c r="AA35" i="4"/>
  <c r="AB35" i="4"/>
  <c r="AC35" i="48" s="1"/>
  <c r="AC35" i="4"/>
  <c r="AD35" i="4"/>
  <c r="AE35" i="4"/>
  <c r="AF35" i="48" s="1"/>
  <c r="AF35" i="4"/>
  <c r="AG35" i="4"/>
  <c r="AH35" i="48" s="1"/>
  <c r="AH35" i="4"/>
  <c r="AI35" i="48" s="1"/>
  <c r="E35" i="4"/>
  <c r="F4" i="4"/>
  <c r="G4" i="4"/>
  <c r="H4" i="4"/>
  <c r="I4" i="4"/>
  <c r="J4" i="4"/>
  <c r="K4" i="4"/>
  <c r="L4" i="4"/>
  <c r="M4" i="48" s="1"/>
  <c r="M4" i="4"/>
  <c r="N4" i="4"/>
  <c r="O4" i="4"/>
  <c r="P4" i="4"/>
  <c r="Q4" i="4"/>
  <c r="R4" i="4"/>
  <c r="S4" i="4"/>
  <c r="T4" i="4"/>
  <c r="U4" i="4"/>
  <c r="W4" i="4"/>
  <c r="X4" i="4"/>
  <c r="Y4" i="4"/>
  <c r="Z4" i="48" s="1"/>
  <c r="Z4" i="4"/>
  <c r="AA4" i="48" s="1"/>
  <c r="AA4" i="4"/>
  <c r="AB4" i="4"/>
  <c r="AC4" i="48" s="1"/>
  <c r="AC4" i="4"/>
  <c r="AD4" i="4"/>
  <c r="AE4" i="4"/>
  <c r="AF4" i="4"/>
  <c r="AG4" i="4"/>
  <c r="AH4" i="4"/>
  <c r="AI4" i="48" s="1"/>
  <c r="E4" i="4"/>
  <c r="F4" i="48" s="1"/>
  <c r="AJ53" i="55"/>
  <c r="AJ11" i="55"/>
  <c r="AJ19" i="55"/>
  <c r="AJ27" i="55"/>
  <c r="AI61" i="55"/>
  <c r="AH55" i="52"/>
  <c r="AJ30" i="53"/>
  <c r="AJ61" i="53"/>
  <c r="U4" i="53"/>
  <c r="AB4" i="53"/>
  <c r="H4" i="53"/>
  <c r="I4" i="53"/>
  <c r="J4" i="53"/>
  <c r="K4" i="53"/>
  <c r="L4" i="53"/>
  <c r="M4" i="53"/>
  <c r="N4" i="53"/>
  <c r="O4" i="53"/>
  <c r="P4" i="53"/>
  <c r="Q4" i="53"/>
  <c r="R4" i="53"/>
  <c r="S4" i="53"/>
  <c r="T4" i="53"/>
  <c r="V4" i="53"/>
  <c r="W4" i="53"/>
  <c r="X4" i="53"/>
  <c r="Y4" i="53"/>
  <c r="Z4" i="53"/>
  <c r="AA4" i="53"/>
  <c r="AC4" i="53"/>
  <c r="AD4" i="53"/>
  <c r="AE4" i="53"/>
  <c r="AF4" i="53"/>
  <c r="AG4" i="53"/>
  <c r="AH4" i="53"/>
  <c r="AI4" i="53"/>
  <c r="AJ4" i="53"/>
  <c r="S35" i="53"/>
  <c r="V35" i="53"/>
  <c r="W35" i="53"/>
  <c r="Z35" i="53"/>
  <c r="AA35" i="53"/>
  <c r="AD35" i="53"/>
  <c r="AI35" i="53"/>
  <c r="G35" i="53"/>
  <c r="H35" i="53"/>
  <c r="I35" i="53"/>
  <c r="J35" i="53"/>
  <c r="K35" i="53"/>
  <c r="L35" i="53"/>
  <c r="M35" i="53"/>
  <c r="N35" i="53"/>
  <c r="O35" i="53"/>
  <c r="P35" i="53"/>
  <c r="Q35" i="53"/>
  <c r="R35" i="53"/>
  <c r="T35" i="53"/>
  <c r="U35" i="53"/>
  <c r="X35" i="53"/>
  <c r="Y35" i="53"/>
  <c r="AB35" i="53"/>
  <c r="AC35" i="53"/>
  <c r="AE35" i="53"/>
  <c r="AF35" i="53"/>
  <c r="AG35" i="53"/>
  <c r="AH35" i="53"/>
  <c r="AJ35" i="53"/>
  <c r="AH61" i="52"/>
  <c r="AJ4" i="48"/>
  <c r="AJ5" i="48"/>
  <c r="AJ8" i="48"/>
  <c r="AJ9" i="48"/>
  <c r="AJ10" i="48"/>
  <c r="AJ11" i="48"/>
  <c r="AJ12" i="48"/>
  <c r="AJ13" i="48"/>
  <c r="AJ14" i="48"/>
  <c r="AJ15" i="48"/>
  <c r="AJ16" i="48"/>
  <c r="AJ17" i="48"/>
  <c r="AJ18" i="48"/>
  <c r="AJ19" i="48"/>
  <c r="AJ20" i="48"/>
  <c r="AJ21" i="48"/>
  <c r="AJ22" i="48"/>
  <c r="AJ23" i="48"/>
  <c r="AJ25" i="48"/>
  <c r="AJ26" i="48"/>
  <c r="AJ27" i="48"/>
  <c r="AJ28" i="48"/>
  <c r="AJ29" i="48"/>
  <c r="AI61" i="52"/>
  <c r="T61" i="52"/>
  <c r="AI30" i="52"/>
  <c r="AJ61" i="48"/>
  <c r="AI61" i="4"/>
  <c r="H58" i="48"/>
  <c r="AJ30" i="48"/>
  <c r="J30" i="52"/>
  <c r="AH30" i="52"/>
  <c r="AJ28" i="52"/>
  <c r="AJ27" i="52"/>
  <c r="R30" i="52"/>
  <c r="AJ18" i="52"/>
  <c r="AJ22" i="52"/>
  <c r="W30" i="52"/>
  <c r="AE30" i="52"/>
  <c r="Q30" i="52"/>
  <c r="AJ5" i="52"/>
  <c r="Y30" i="52"/>
  <c r="AJ56" i="52"/>
  <c r="Z61" i="52"/>
  <c r="AJ52" i="52"/>
  <c r="E30" i="52"/>
  <c r="H45" i="48"/>
  <c r="W36" i="48"/>
  <c r="N36" i="48"/>
  <c r="F36" i="48"/>
  <c r="AB36" i="48"/>
  <c r="M36" i="48"/>
  <c r="G38" i="48"/>
  <c r="E61" i="52"/>
  <c r="J46" i="48"/>
  <c r="Q38" i="48"/>
  <c r="AE38" i="48"/>
  <c r="X38" i="48"/>
  <c r="U37" i="48"/>
  <c r="AE36" i="48"/>
  <c r="Q43" i="48"/>
  <c r="K40" i="48"/>
  <c r="Q37" i="48"/>
  <c r="W37" i="48"/>
  <c r="Y37" i="48" l="1"/>
  <c r="O61" i="55"/>
  <c r="E61" i="55"/>
  <c r="G61" i="55"/>
  <c r="AE61" i="55"/>
  <c r="AJ35" i="55"/>
  <c r="M61" i="55"/>
  <c r="U61" i="55"/>
  <c r="AC61" i="55"/>
  <c r="AJ37" i="55"/>
  <c r="AJ39" i="55"/>
  <c r="AJ41" i="55"/>
  <c r="AJ42" i="55"/>
  <c r="AJ61" i="55" s="1"/>
  <c r="AF65" i="55" s="1"/>
  <c r="AJ43" i="55"/>
  <c r="AJ46" i="55"/>
  <c r="AJ49" i="55"/>
  <c r="AJ50" i="55"/>
  <c r="AJ51" i="55"/>
  <c r="AJ54" i="55"/>
  <c r="AJ57" i="55"/>
  <c r="AJ58" i="55"/>
  <c r="AJ59" i="55"/>
  <c r="W61" i="55"/>
  <c r="AD37" i="48"/>
  <c r="J48" i="48"/>
  <c r="I30" i="55"/>
  <c r="M42" i="48"/>
  <c r="N56" i="48"/>
  <c r="R18" i="48"/>
  <c r="M45" i="48"/>
  <c r="Q19" i="48"/>
  <c r="AG11" i="48"/>
  <c r="T11" i="48"/>
  <c r="AD12" i="48"/>
  <c r="Y48" i="48"/>
  <c r="G47" i="48"/>
  <c r="P39" i="48"/>
  <c r="Z43" i="48"/>
  <c r="V9" i="48"/>
  <c r="T56" i="48"/>
  <c r="AH40" i="48"/>
  <c r="R59" i="48"/>
  <c r="Q6" i="48"/>
  <c r="AI43" i="48"/>
  <c r="N5" i="48"/>
  <c r="T41" i="48"/>
  <c r="L60" i="48"/>
  <c r="H6" i="48"/>
  <c r="N42" i="48"/>
  <c r="S43" i="48"/>
  <c r="T12" i="48"/>
  <c r="AE39" i="48"/>
  <c r="AC41" i="48"/>
  <c r="Y10" i="48"/>
  <c r="AI55" i="48"/>
  <c r="AA43" i="48"/>
  <c r="Y55" i="48"/>
  <c r="Q18" i="48"/>
  <c r="Y54" i="48"/>
  <c r="Q7" i="48"/>
  <c r="AC13" i="48"/>
  <c r="O57" i="48"/>
  <c r="O49" i="48"/>
  <c r="H39" i="48"/>
  <c r="Q58" i="48"/>
  <c r="AE9" i="48"/>
  <c r="O5" i="48"/>
  <c r="W57" i="48"/>
  <c r="AI51" i="48"/>
  <c r="G53" i="48"/>
  <c r="AI59" i="48"/>
  <c r="O53" i="48"/>
  <c r="Y14" i="48"/>
  <c r="K15" i="48"/>
  <c r="Y18" i="48"/>
  <c r="M52" i="48"/>
  <c r="I54" i="48"/>
  <c r="M38" i="48"/>
  <c r="K59" i="48"/>
  <c r="AA59" i="48"/>
  <c r="K19" i="48"/>
  <c r="AE53" i="48"/>
  <c r="S15" i="48"/>
  <c r="AC60" i="48"/>
  <c r="I10" i="48"/>
  <c r="AE57" i="48"/>
  <c r="Q54" i="48"/>
  <c r="M16" i="48"/>
  <c r="I6" i="48"/>
  <c r="AG14" i="48"/>
  <c r="G9" i="48"/>
  <c r="S59" i="48"/>
  <c r="M56" i="48"/>
  <c r="G57" i="48"/>
  <c r="I50" i="48"/>
  <c r="U60" i="48"/>
  <c r="W9" i="48"/>
  <c r="K51" i="48"/>
  <c r="W53" i="48"/>
  <c r="U13" i="48"/>
  <c r="K12" i="48"/>
  <c r="H40" i="48"/>
  <c r="M9" i="48"/>
  <c r="W6" i="48"/>
  <c r="AC57" i="48"/>
  <c r="Y59" i="48"/>
  <c r="Q11" i="48"/>
  <c r="G14" i="48"/>
  <c r="M57" i="48"/>
  <c r="N39" i="48"/>
  <c r="U5" i="48"/>
  <c r="AG59" i="48"/>
  <c r="AA60" i="48"/>
  <c r="K60" i="48"/>
  <c r="AA44" i="48"/>
  <c r="U9" i="48"/>
  <c r="P43" i="48"/>
  <c r="AE6" i="48"/>
  <c r="K16" i="48"/>
  <c r="V39" i="48"/>
  <c r="AA56" i="48"/>
  <c r="O6" i="48"/>
  <c r="I11" i="48"/>
  <c r="Y25" i="48"/>
  <c r="AA16" i="48"/>
  <c r="Q59" i="48"/>
  <c r="M5" i="48"/>
  <c r="AE58" i="48"/>
  <c r="AC45" i="48"/>
  <c r="I55" i="48"/>
  <c r="Q15" i="48"/>
  <c r="G10" i="48"/>
  <c r="Y19" i="48"/>
  <c r="AC5" i="48"/>
  <c r="AE10" i="48"/>
  <c r="S20" i="48"/>
  <c r="AC14" i="48"/>
  <c r="AE23" i="48"/>
  <c r="AA22" i="48"/>
  <c r="V11" i="48"/>
  <c r="I19" i="48"/>
  <c r="U17" i="48"/>
  <c r="AA12" i="48"/>
  <c r="Z17" i="48"/>
  <c r="K39" i="48"/>
  <c r="AG21" i="48"/>
  <c r="J42" i="48"/>
  <c r="I25" i="48"/>
  <c r="AI22" i="48"/>
  <c r="AI39" i="48"/>
  <c r="K22" i="48"/>
  <c r="S22" i="48"/>
  <c r="M23" i="48"/>
  <c r="AD40" i="48"/>
  <c r="Z27" i="48"/>
  <c r="AH45" i="48"/>
  <c r="AI49" i="48"/>
  <c r="Q48" i="48"/>
  <c r="AB5" i="48"/>
  <c r="AH60" i="48"/>
  <c r="U50" i="48"/>
  <c r="X43" i="48"/>
  <c r="Q12" i="48"/>
  <c r="H7" i="48"/>
  <c r="I8" i="48"/>
  <c r="AC54" i="48"/>
  <c r="AC42" i="48"/>
  <c r="Z12" i="48"/>
  <c r="T49" i="48"/>
  <c r="W23" i="48"/>
  <c r="R25" i="48"/>
  <c r="O55" i="48"/>
  <c r="Y12" i="48"/>
  <c r="P15" i="48"/>
  <c r="AH48" i="48"/>
  <c r="P51" i="48"/>
  <c r="I24" i="48"/>
  <c r="Q8" i="48"/>
  <c r="W47" i="48"/>
  <c r="T53" i="48"/>
  <c r="X7" i="48"/>
  <c r="AH12" i="48"/>
  <c r="V18" i="48"/>
  <c r="F22" i="48"/>
  <c r="F24" i="48"/>
  <c r="AB49" i="48"/>
  <c r="J56" i="48"/>
  <c r="AH16" i="48"/>
  <c r="AF40" i="48"/>
  <c r="X40" i="48"/>
  <c r="Z41" i="48"/>
  <c r="AD10" i="48"/>
  <c r="L45" i="48"/>
  <c r="F46" i="48"/>
  <c r="F58" i="48"/>
  <c r="X19" i="48"/>
  <c r="R41" i="48"/>
  <c r="F14" i="48"/>
  <c r="H47" i="48"/>
  <c r="H51" i="48"/>
  <c r="H23" i="48"/>
  <c r="AD6" i="48"/>
  <c r="AF47" i="48"/>
  <c r="H11" i="48"/>
  <c r="F10" i="48"/>
  <c r="AF27" i="48"/>
  <c r="U26" i="48"/>
  <c r="G40" i="48"/>
  <c r="AF51" i="48"/>
  <c r="Y28" i="48"/>
  <c r="J17" i="48"/>
  <c r="N18" i="48"/>
  <c r="N10" i="48"/>
  <c r="R12" i="48"/>
  <c r="R28" i="48"/>
  <c r="AF4" i="48"/>
  <c r="R20" i="48"/>
  <c r="U39" i="48"/>
  <c r="AD18" i="48"/>
  <c r="N50" i="48"/>
  <c r="O40" i="48"/>
  <c r="O43" i="48"/>
  <c r="J41" i="48"/>
  <c r="Z11" i="48"/>
  <c r="P18" i="48"/>
  <c r="AD21" i="48"/>
  <c r="AF10" i="48"/>
  <c r="H26" i="48"/>
  <c r="P26" i="48"/>
  <c r="AB8" i="48"/>
  <c r="X18" i="48"/>
  <c r="X4" i="48"/>
  <c r="P35" i="48"/>
  <c r="N13" i="48"/>
  <c r="AE4" i="48"/>
  <c r="R11" i="48"/>
  <c r="Z15" i="48"/>
  <c r="Z19" i="48"/>
  <c r="AB44" i="48"/>
  <c r="AD44" i="48"/>
  <c r="X58" i="48"/>
  <c r="F52" i="48"/>
  <c r="G22" i="48"/>
  <c r="F48" i="48"/>
  <c r="Y42" i="48"/>
  <c r="AH11" i="48"/>
  <c r="J11" i="48"/>
  <c r="J55" i="48"/>
  <c r="J50" i="48"/>
  <c r="J10" i="48"/>
  <c r="AF58" i="48"/>
  <c r="V52" i="48"/>
  <c r="Q27" i="48"/>
  <c r="L12" i="48"/>
  <c r="Y22" i="48"/>
  <c r="Z54" i="48"/>
  <c r="H9" i="48"/>
  <c r="AB60" i="48"/>
  <c r="F9" i="48"/>
  <c r="J7" i="48"/>
  <c r="T52" i="48"/>
  <c r="L7" i="48"/>
  <c r="AH43" i="48"/>
  <c r="AD5" i="48"/>
  <c r="P9" i="48"/>
  <c r="N8" i="48"/>
  <c r="V13" i="48"/>
  <c r="T15" i="48"/>
  <c r="R43" i="48"/>
  <c r="AH7" i="48"/>
  <c r="AH19" i="48"/>
  <c r="T44" i="48"/>
  <c r="N57" i="48"/>
  <c r="AD57" i="48"/>
  <c r="AB47" i="48"/>
  <c r="P54" i="48"/>
  <c r="L8" i="48"/>
  <c r="W42" i="48"/>
  <c r="AB55" i="48"/>
  <c r="R61" i="53"/>
  <c r="X10" i="48"/>
  <c r="AF49" i="48"/>
  <c r="AH46" i="48"/>
  <c r="O47" i="48"/>
  <c r="M54" i="48"/>
  <c r="S9" i="48"/>
  <c r="AI58" i="48"/>
  <c r="U14" i="48"/>
  <c r="M50" i="48"/>
  <c r="I48" i="48"/>
  <c r="W55" i="48"/>
  <c r="W19" i="48"/>
  <c r="T22" i="48"/>
  <c r="G7" i="48"/>
  <c r="W15" i="48"/>
  <c r="AI14" i="48"/>
  <c r="O15" i="48"/>
  <c r="M14" i="48"/>
  <c r="G15" i="48"/>
  <c r="Y8" i="48"/>
  <c r="O52" i="48"/>
  <c r="O48" i="48"/>
  <c r="P4" i="48"/>
  <c r="M10" i="48"/>
  <c r="AC7" i="48"/>
  <c r="S21" i="48"/>
  <c r="M55" i="48"/>
  <c r="I49" i="48"/>
  <c r="Y9" i="48"/>
  <c r="AE11" i="48"/>
  <c r="AE7" i="48"/>
  <c r="I53" i="48"/>
  <c r="I52" i="48"/>
  <c r="AC46" i="48"/>
  <c r="AG57" i="48"/>
  <c r="AE51" i="48"/>
  <c r="AA53" i="48"/>
  <c r="I57" i="48"/>
  <c r="P25" i="48"/>
  <c r="X12" i="48"/>
  <c r="F15" i="48"/>
  <c r="M7" i="48"/>
  <c r="AF16" i="48"/>
  <c r="Y13" i="48"/>
  <c r="S45" i="48"/>
  <c r="AG17" i="48"/>
  <c r="J22" i="48"/>
  <c r="S39" i="48"/>
  <c r="L39" i="48"/>
  <c r="J26" i="48"/>
  <c r="T10" i="48"/>
  <c r="F11" i="48"/>
  <c r="R13" i="48"/>
  <c r="AF44" i="48"/>
  <c r="S46" i="48"/>
  <c r="Q57" i="48"/>
  <c r="AC59" i="48"/>
  <c r="I17" i="48"/>
  <c r="AH53" i="48"/>
  <c r="R53" i="48"/>
  <c r="AG49" i="48"/>
  <c r="AE8" i="48"/>
  <c r="S14" i="48"/>
  <c r="X41" i="48"/>
  <c r="V40" i="48"/>
  <c r="Q53" i="48"/>
  <c r="AG26" i="48"/>
  <c r="AD15" i="48"/>
  <c r="L10" i="48"/>
  <c r="N11" i="48"/>
  <c r="T14" i="48"/>
  <c r="K50" i="48"/>
  <c r="M59" i="48"/>
  <c r="AA42" i="48"/>
  <c r="AD20" i="48"/>
  <c r="H25" i="48"/>
  <c r="AF17" i="48"/>
  <c r="Q17" i="48"/>
  <c r="AI42" i="48"/>
  <c r="T54" i="48"/>
  <c r="AE16" i="48"/>
  <c r="W60" i="48"/>
  <c r="AB50" i="48"/>
  <c r="W25" i="48"/>
  <c r="W40" i="48"/>
  <c r="L14" i="48"/>
  <c r="H48" i="48"/>
  <c r="AA14" i="48"/>
  <c r="S18" i="48"/>
  <c r="V43" i="48"/>
  <c r="R30" i="53"/>
  <c r="Y44" i="48"/>
  <c r="AB37" i="48"/>
  <c r="AE52" i="48"/>
  <c r="AA50" i="48"/>
  <c r="K14" i="48"/>
  <c r="U15" i="48"/>
  <c r="X25" i="48"/>
  <c r="V15" i="48"/>
  <c r="J13" i="48"/>
  <c r="AD11" i="48"/>
  <c r="T46" i="48"/>
  <c r="H52" i="48"/>
  <c r="W56" i="48"/>
  <c r="O60" i="48"/>
  <c r="Q44" i="48"/>
  <c r="V24" i="48"/>
  <c r="N24" i="48"/>
  <c r="U47" i="48"/>
  <c r="U55" i="48"/>
  <c r="O16" i="48"/>
  <c r="P41" i="48"/>
  <c r="N40" i="48"/>
  <c r="AH38" i="48"/>
  <c r="V25" i="48"/>
  <c r="I28" i="48"/>
  <c r="I41" i="48"/>
  <c r="AB15" i="48"/>
  <c r="N60" i="48"/>
  <c r="N16" i="48"/>
  <c r="AA45" i="48"/>
  <c r="Z46" i="48"/>
  <c r="N52" i="48"/>
  <c r="T55" i="48"/>
  <c r="Y27" i="48"/>
  <c r="AD25" i="48"/>
  <c r="P48" i="48"/>
  <c r="X6" i="48"/>
  <c r="AF6" i="48"/>
  <c r="F43" i="48"/>
  <c r="AB46" i="48"/>
  <c r="V48" i="48"/>
  <c r="H57" i="48"/>
  <c r="K28" i="48"/>
  <c r="AC17" i="48"/>
  <c r="W18" i="48"/>
  <c r="L55" i="48"/>
  <c r="AH54" i="48"/>
  <c r="F8" i="48"/>
  <c r="K42" i="48"/>
  <c r="T42" i="48"/>
  <c r="T60" i="48"/>
  <c r="F55" i="48"/>
  <c r="AG41" i="48"/>
  <c r="X48" i="48"/>
  <c r="J49" i="48"/>
  <c r="Z49" i="48"/>
  <c r="L51" i="48"/>
  <c r="P57" i="48"/>
  <c r="X53" i="48"/>
  <c r="V56" i="48"/>
  <c r="Z58" i="48"/>
  <c r="AG10" i="48"/>
  <c r="P49" i="48"/>
  <c r="AD16" i="48"/>
  <c r="F40" i="48"/>
  <c r="X49" i="48"/>
  <c r="AG18" i="48"/>
  <c r="V16" i="48"/>
  <c r="H8" i="48"/>
  <c r="F47" i="48"/>
  <c r="Y45" i="48"/>
  <c r="R49" i="48"/>
  <c r="AB29" i="48"/>
  <c r="Q4" i="48"/>
  <c r="Q41" i="48"/>
  <c r="AG27" i="48"/>
  <c r="AD48" i="48"/>
  <c r="L47" i="48"/>
  <c r="R50" i="48"/>
  <c r="K21" i="48"/>
  <c r="AF8" i="48"/>
  <c r="Z36" i="48"/>
  <c r="AF48" i="48"/>
  <c r="V51" i="48"/>
  <c r="U28" i="48"/>
  <c r="AH28" i="48"/>
  <c r="AE40" i="48"/>
  <c r="S26" i="48"/>
  <c r="AI19" i="48"/>
  <c r="AF9" i="48"/>
  <c r="Z6" i="48"/>
  <c r="K11" i="48"/>
  <c r="Z29" i="48"/>
  <c r="Z50" i="48"/>
  <c r="N51" i="48"/>
  <c r="AF23" i="48"/>
  <c r="I27" i="48"/>
  <c r="AB59" i="48"/>
  <c r="F16" i="48"/>
  <c r="F60" i="48"/>
  <c r="V8" i="48"/>
  <c r="T47" i="48"/>
  <c r="O13" i="48"/>
  <c r="G17" i="48"/>
  <c r="N47" i="48"/>
  <c r="AD47" i="48"/>
  <c r="Q25" i="48"/>
  <c r="Q29" i="48"/>
  <c r="AE35" i="48"/>
  <c r="AF19" i="48"/>
  <c r="H24" i="48"/>
  <c r="AG22" i="48"/>
  <c r="X24" i="48"/>
  <c r="N28" i="48"/>
  <c r="T28" i="48"/>
  <c r="AE21" i="48"/>
  <c r="S25" i="48"/>
  <c r="AI27" i="48"/>
  <c r="L21" i="48"/>
  <c r="AH20" i="48"/>
  <c r="P19" i="48"/>
  <c r="Q26" i="48"/>
  <c r="AH23" i="48"/>
  <c r="S27" i="48"/>
  <c r="AD13" i="48"/>
  <c r="AG42" i="48"/>
  <c r="AF50" i="48"/>
  <c r="R42" i="48"/>
  <c r="AH37" i="48"/>
  <c r="M6" i="48"/>
  <c r="Z35" i="48"/>
  <c r="AC44" i="48"/>
  <c r="G46" i="48"/>
  <c r="K52" i="48"/>
  <c r="AA57" i="48"/>
  <c r="AA24" i="48"/>
  <c r="Z5" i="48"/>
  <c r="AI48" i="48"/>
  <c r="S4" i="48"/>
  <c r="K37" i="48"/>
  <c r="X15" i="48"/>
  <c r="L25" i="48"/>
  <c r="T24" i="48"/>
  <c r="N29" i="48"/>
  <c r="AC28" i="48"/>
  <c r="AC12" i="48"/>
  <c r="J51" i="48"/>
  <c r="Z42" i="48"/>
  <c r="R9" i="48"/>
  <c r="P8" i="48"/>
  <c r="V27" i="48"/>
  <c r="T6" i="48"/>
  <c r="AC6" i="48"/>
  <c r="M44" i="48"/>
  <c r="AG56" i="48"/>
  <c r="R39" i="48"/>
  <c r="K48" i="48"/>
  <c r="G50" i="48"/>
  <c r="AH30" i="4"/>
  <c r="AI24" i="48"/>
  <c r="N41" i="48"/>
  <c r="AB40" i="48"/>
  <c r="F41" i="48"/>
  <c r="AB52" i="48"/>
  <c r="AG9" i="48"/>
  <c r="Y38" i="48"/>
  <c r="Y15" i="48"/>
  <c r="X21" i="48"/>
  <c r="L43" i="48"/>
  <c r="AA23" i="48"/>
  <c r="O29" i="48"/>
  <c r="V12" i="48"/>
  <c r="Z26" i="48"/>
  <c r="AF38" i="48"/>
  <c r="Z51" i="48"/>
  <c r="AH42" i="48"/>
  <c r="N19" i="48"/>
  <c r="G13" i="48"/>
  <c r="Y36" i="48"/>
  <c r="G41" i="48"/>
  <c r="G44" i="48"/>
  <c r="R51" i="48"/>
  <c r="AI26" i="48"/>
  <c r="AD14" i="48"/>
  <c r="S57" i="48"/>
  <c r="L40" i="48"/>
  <c r="AC27" i="48"/>
  <c r="M25" i="48"/>
  <c r="O14" i="48"/>
  <c r="P29" i="48"/>
  <c r="O8" i="48"/>
  <c r="W13" i="48"/>
  <c r="J36" i="48"/>
  <c r="R36" i="48"/>
  <c r="U7" i="48"/>
  <c r="G28" i="48"/>
  <c r="T25" i="48"/>
  <c r="H14" i="48"/>
  <c r="K4" i="48"/>
  <c r="G8" i="48"/>
  <c r="W35" i="48"/>
  <c r="AA35" i="48"/>
  <c r="X13" i="48"/>
  <c r="O46" i="48"/>
  <c r="AD41" i="48"/>
  <c r="K25" i="48"/>
  <c r="AE29" i="48"/>
  <c r="AA37" i="48"/>
  <c r="AC43" i="48"/>
  <c r="V45" i="48"/>
  <c r="AH51" i="48"/>
  <c r="I61" i="53"/>
  <c r="H55" i="48"/>
  <c r="AH39" i="48"/>
  <c r="X50" i="48"/>
  <c r="M26" i="48"/>
  <c r="Q9" i="48"/>
  <c r="F44" i="48"/>
  <c r="P21" i="48"/>
  <c r="F21" i="48"/>
  <c r="AB4" i="48"/>
  <c r="J9" i="48"/>
  <c r="AE15" i="48"/>
  <c r="AG39" i="48"/>
  <c r="Y47" i="48"/>
  <c r="O28" i="48"/>
  <c r="AB18" i="48"/>
  <c r="U18" i="48"/>
  <c r="AA5" i="48"/>
  <c r="AG60" i="48"/>
  <c r="L52" i="48"/>
  <c r="AC26" i="48"/>
  <c r="G29" i="48"/>
  <c r="F28" i="48"/>
  <c r="AA25" i="48"/>
  <c r="AH24" i="48"/>
  <c r="S24" i="48"/>
  <c r="K24" i="48"/>
  <c r="R23" i="48"/>
  <c r="J23" i="48"/>
  <c r="X22" i="48"/>
  <c r="H22" i="48"/>
  <c r="O21" i="48"/>
  <c r="G21" i="48"/>
  <c r="W20" i="48"/>
  <c r="G20" i="48"/>
  <c r="AC19" i="48"/>
  <c r="U19" i="48"/>
  <c r="M19" i="48"/>
  <c r="L6" i="48"/>
  <c r="H60" i="48"/>
  <c r="AD59" i="48"/>
  <c r="N59" i="48"/>
  <c r="AH57" i="48"/>
  <c r="Z57" i="48"/>
  <c r="R57" i="48"/>
  <c r="X56" i="48"/>
  <c r="P56" i="48"/>
  <c r="H56" i="48"/>
  <c r="AD55" i="48"/>
  <c r="AD54" i="48"/>
  <c r="V54" i="48"/>
  <c r="N54" i="48"/>
  <c r="AB53" i="48"/>
  <c r="L53" i="48"/>
  <c r="AH52" i="48"/>
  <c r="S52" i="48"/>
  <c r="H36" i="48"/>
  <c r="F35" i="48"/>
  <c r="O61" i="53"/>
  <c r="M29" i="48"/>
  <c r="AI28" i="48"/>
  <c r="AA28" i="48"/>
  <c r="AC8" i="48"/>
  <c r="U8" i="48"/>
  <c r="M8" i="48"/>
  <c r="R6" i="48"/>
  <c r="J6" i="48"/>
  <c r="W39" i="48"/>
  <c r="O39" i="48"/>
  <c r="G39" i="48"/>
  <c r="W38" i="48"/>
  <c r="I38" i="48"/>
  <c r="AF37" i="48"/>
  <c r="O36" i="48"/>
  <c r="AG5" i="48"/>
  <c r="M28" i="48"/>
  <c r="T23" i="48"/>
  <c r="AI29" i="48"/>
  <c r="AA29" i="48"/>
  <c r="S29" i="48"/>
  <c r="AD9" i="48"/>
  <c r="N9" i="48"/>
  <c r="AA41" i="48"/>
  <c r="S41" i="48"/>
  <c r="Y40" i="48"/>
  <c r="AD39" i="48"/>
  <c r="U29" i="48"/>
  <c r="AE60" i="48"/>
  <c r="AG4" i="48"/>
  <c r="H4" i="48"/>
  <c r="U35" i="48"/>
  <c r="L35" i="48"/>
  <c r="AD17" i="48"/>
  <c r="N17" i="48"/>
  <c r="F17" i="48"/>
  <c r="U16" i="48"/>
  <c r="AA13" i="48"/>
  <c r="S13" i="48"/>
  <c r="K13" i="48"/>
  <c r="AG12" i="48"/>
  <c r="I12" i="48"/>
  <c r="W11" i="48"/>
  <c r="O11" i="48"/>
  <c r="U10" i="48"/>
  <c r="K8" i="48"/>
  <c r="I7" i="48"/>
  <c r="Q5" i="48"/>
  <c r="H19" i="48"/>
  <c r="O18" i="48"/>
  <c r="G18" i="48"/>
  <c r="AH8" i="48"/>
  <c r="AJ44" i="4"/>
  <c r="H44" i="48"/>
  <c r="AJ43" i="4"/>
  <c r="I5" i="48"/>
  <c r="U30" i="4"/>
  <c r="V4" i="48"/>
  <c r="J35" i="48"/>
  <c r="H28" i="48"/>
  <c r="AE27" i="48"/>
  <c r="W27" i="48"/>
  <c r="O27" i="48"/>
  <c r="AJ26" i="4"/>
  <c r="AC25" i="48"/>
  <c r="U24" i="48"/>
  <c r="AB23" i="48"/>
  <c r="L23" i="48"/>
  <c r="AH22" i="48"/>
  <c r="Z22" i="48"/>
  <c r="I21" i="48"/>
  <c r="AF20" i="48"/>
  <c r="I20" i="48"/>
  <c r="AE19" i="48"/>
  <c r="O19" i="48"/>
  <c r="L17" i="48"/>
  <c r="S16" i="48"/>
  <c r="Q13" i="48"/>
  <c r="I13" i="48"/>
  <c r="AE12" i="48"/>
  <c r="W12" i="48"/>
  <c r="M11" i="48"/>
  <c r="AI10" i="48"/>
  <c r="S10" i="48"/>
  <c r="R60" i="48"/>
  <c r="J60" i="48"/>
  <c r="X59" i="48"/>
  <c r="P59" i="48"/>
  <c r="H59" i="48"/>
  <c r="AD58" i="48"/>
  <c r="R56" i="48"/>
  <c r="AF55" i="48"/>
  <c r="P55" i="48"/>
  <c r="AF54" i="48"/>
  <c r="X54" i="48"/>
  <c r="H54" i="48"/>
  <c r="S51" i="48"/>
  <c r="AG50" i="48"/>
  <c r="AE49" i="48"/>
  <c r="U48" i="48"/>
  <c r="Y46" i="48"/>
  <c r="AH61" i="4"/>
  <c r="L29" i="48"/>
  <c r="S17" i="48"/>
  <c r="Z16" i="48"/>
  <c r="Y49" i="48"/>
  <c r="M47" i="48"/>
  <c r="I15" i="48"/>
  <c r="V20" i="48"/>
  <c r="R16" i="48"/>
  <c r="H13" i="48"/>
  <c r="AH29" i="48"/>
  <c r="W49" i="48"/>
  <c r="Z60" i="48"/>
  <c r="AJ50" i="4"/>
  <c r="AK50" i="4" s="1"/>
  <c r="T27" i="48"/>
  <c r="K17" i="48"/>
  <c r="V21" i="48"/>
  <c r="N21" i="48"/>
  <c r="W48" i="48"/>
  <c r="AC47" i="48"/>
  <c r="AG45" i="48"/>
  <c r="F12" i="48"/>
  <c r="S50" i="48"/>
  <c r="O22" i="48"/>
  <c r="W4" i="48"/>
  <c r="AH27" i="48"/>
  <c r="G61" i="4"/>
  <c r="I30" i="53"/>
  <c r="P40" i="48"/>
  <c r="V55" i="48"/>
  <c r="Z28" i="48"/>
  <c r="AG24" i="48"/>
  <c r="AA9" i="48"/>
  <c r="AI50" i="48"/>
  <c r="K45" i="48"/>
  <c r="W14" i="48"/>
  <c r="AE14" i="48"/>
  <c r="L61" i="53"/>
  <c r="R45" i="48"/>
  <c r="S47" i="48"/>
  <c r="AH41" i="48"/>
  <c r="H43" i="48"/>
  <c r="G52" i="48"/>
  <c r="J24" i="48"/>
  <c r="AI46" i="48"/>
  <c r="AC20" i="48"/>
  <c r="N20" i="48"/>
  <c r="M51" i="48"/>
  <c r="AI61" i="53"/>
  <c r="K9" i="48"/>
  <c r="J16" i="48"/>
  <c r="AE22" i="48"/>
  <c r="R35" i="48"/>
  <c r="Q50" i="48"/>
  <c r="AL53" i="53"/>
  <c r="P61" i="53"/>
  <c r="AL21" i="53"/>
  <c r="V30" i="53"/>
  <c r="N61" i="53"/>
  <c r="Y60" i="48"/>
  <c r="Y30" i="4"/>
  <c r="Q61" i="4"/>
  <c r="X61" i="53"/>
  <c r="Z30" i="53"/>
  <c r="P30" i="53"/>
  <c r="H61" i="4"/>
  <c r="AF60" i="48"/>
  <c r="AE61" i="4"/>
  <c r="L61" i="4"/>
  <c r="T21" i="48"/>
  <c r="AH4" i="48"/>
  <c r="R61" i="4"/>
  <c r="AJ11" i="4"/>
  <c r="T13" i="48"/>
  <c r="AI40" i="48"/>
  <c r="N61" i="4"/>
  <c r="AC58" i="48"/>
  <c r="J28" i="48"/>
  <c r="F26" i="48"/>
  <c r="AF30" i="4"/>
  <c r="T9" i="48"/>
  <c r="W43" i="48"/>
  <c r="W29" i="48"/>
  <c r="L11" i="48"/>
  <c r="M20" i="48"/>
  <c r="AF36" i="48"/>
  <c r="AA54" i="48"/>
  <c r="AB21" i="48"/>
  <c r="AI11" i="48"/>
  <c r="N23" i="48"/>
  <c r="Z37" i="48"/>
  <c r="R47" i="48"/>
  <c r="S56" i="48"/>
  <c r="AJ15" i="4"/>
  <c r="O30" i="4"/>
  <c r="AD61" i="53"/>
  <c r="AB30" i="53"/>
  <c r="H30" i="53"/>
  <c r="AG53" i="48"/>
  <c r="AJ38" i="4"/>
  <c r="Y7" i="48"/>
  <c r="J5" i="48"/>
  <c r="J40" i="48"/>
  <c r="AA61" i="4"/>
  <c r="K38" i="48"/>
  <c r="AF46" i="48"/>
  <c r="AB57" i="48"/>
  <c r="U23" i="48"/>
  <c r="Z56" i="48"/>
  <c r="O45" i="48"/>
  <c r="P44" i="48"/>
  <c r="T57" i="48"/>
  <c r="L56" i="48"/>
  <c r="AJ27" i="4"/>
  <c r="J30" i="53"/>
  <c r="V30" i="4"/>
  <c r="AB13" i="48"/>
  <c r="AE59" i="48"/>
  <c r="N26" i="48"/>
  <c r="AB20" i="48"/>
  <c r="L16" i="48"/>
  <c r="AB24" i="48"/>
  <c r="N25" i="48"/>
  <c r="F49" i="48"/>
  <c r="Y4" i="48"/>
  <c r="AI9" i="48"/>
  <c r="L57" i="48"/>
  <c r="H50" i="48"/>
  <c r="R55" i="48"/>
  <c r="W45" i="48"/>
  <c r="X52" i="48"/>
  <c r="U4" i="48"/>
  <c r="AD42" i="48"/>
  <c r="X44" i="48"/>
  <c r="X46" i="48"/>
  <c r="S54" i="48"/>
  <c r="AH56" i="48"/>
  <c r="J61" i="53"/>
  <c r="AJ42" i="4"/>
  <c r="J47" i="48"/>
  <c r="AB9" i="48"/>
  <c r="AA30" i="4"/>
  <c r="U41" i="48"/>
  <c r="AJ60" i="4"/>
  <c r="AK60" i="4" s="1"/>
  <c r="E30" i="4"/>
  <c r="I4" i="48"/>
  <c r="K10" i="48"/>
  <c r="AI16" i="48"/>
  <c r="L15" i="48"/>
  <c r="AA11" i="48"/>
  <c r="AG7" i="48"/>
  <c r="AH30" i="53"/>
  <c r="K61" i="4"/>
  <c r="AD29" i="48"/>
  <c r="AE43" i="48"/>
  <c r="R4" i="48"/>
  <c r="S30" i="4"/>
  <c r="H35" i="48"/>
  <c r="AJ45" i="4"/>
  <c r="AJ49" i="4"/>
  <c r="AK49" i="4" s="1"/>
  <c r="I60" i="48"/>
  <c r="AI21" i="48"/>
  <c r="V49" i="48"/>
  <c r="L9" i="48"/>
  <c r="Y53" i="48"/>
  <c r="T17" i="48"/>
  <c r="Z14" i="48"/>
  <c r="J37" i="48"/>
  <c r="AH55" i="48"/>
  <c r="H61" i="53"/>
  <c r="AD49" i="48"/>
  <c r="AD23" i="48"/>
  <c r="AJ56" i="4"/>
  <c r="AK57" i="4" s="1"/>
  <c r="Z61" i="53"/>
  <c r="F13" i="48"/>
  <c r="AJ13" i="4"/>
  <c r="AJ48" i="4"/>
  <c r="V42" i="48"/>
  <c r="H46" i="48"/>
  <c r="Q52" i="48"/>
  <c r="AH14" i="48"/>
  <c r="AB61" i="53"/>
  <c r="N43" i="48"/>
  <c r="I51" i="48"/>
  <c r="I61" i="4"/>
  <c r="AJ29" i="4"/>
  <c r="AE30" i="4"/>
  <c r="V17" i="48"/>
  <c r="H27" i="48"/>
  <c r="AC10" i="48"/>
  <c r="F56" i="48"/>
  <c r="Z8" i="48"/>
  <c r="AI12" i="48"/>
  <c r="I22" i="48"/>
  <c r="H5" i="48"/>
  <c r="J45" i="48"/>
  <c r="AA18" i="48"/>
  <c r="S28" i="48"/>
  <c r="I36" i="48"/>
  <c r="N55" i="48"/>
  <c r="AJ25" i="4"/>
  <c r="AJ19" i="4"/>
  <c r="W30" i="4"/>
  <c r="AB48" i="48"/>
  <c r="AF13" i="48"/>
  <c r="R40" i="48"/>
  <c r="I23" i="48"/>
  <c r="P5" i="48"/>
  <c r="N6" i="48"/>
  <c r="X36" i="48"/>
  <c r="R30" i="4"/>
  <c r="AJ7" i="4"/>
  <c r="AE37" i="48"/>
  <c r="X60" i="48"/>
  <c r="T30" i="4"/>
  <c r="L13" i="48"/>
  <c r="AJ41" i="4"/>
  <c r="AJ52" i="4"/>
  <c r="AK52" i="48" s="1"/>
  <c r="J15" i="48"/>
  <c r="AF14" i="48"/>
  <c r="AG20" i="48"/>
  <c r="L30" i="4"/>
  <c r="U25" i="48"/>
  <c r="AB35" i="48"/>
  <c r="T19" i="48"/>
  <c r="G25" i="48"/>
  <c r="AD24" i="48"/>
  <c r="H17" i="48"/>
  <c r="Z40" i="48"/>
  <c r="AD4" i="48"/>
  <c r="U52" i="48"/>
  <c r="P16" i="48"/>
  <c r="U57" i="48"/>
  <c r="G6" i="48"/>
  <c r="Q36" i="48"/>
  <c r="Q42" i="48"/>
  <c r="AG46" i="48"/>
  <c r="Z38" i="48"/>
  <c r="M18" i="48"/>
  <c r="Q30" i="4"/>
  <c r="AJ53" i="4"/>
  <c r="Y61" i="4"/>
  <c r="AD30" i="4"/>
  <c r="X39" i="48"/>
  <c r="X14" i="48"/>
  <c r="G11" i="48"/>
  <c r="Z20" i="48"/>
  <c r="U11" i="48"/>
  <c r="R44" i="48"/>
  <c r="R7" i="48"/>
  <c r="J14" i="48"/>
  <c r="Z13" i="48"/>
  <c r="AH61" i="53"/>
  <c r="X30" i="53"/>
  <c r="O25" i="48"/>
  <c r="AG8" i="48"/>
  <c r="AJ39" i="4"/>
  <c r="P60" i="48"/>
  <c r="AF61" i="4"/>
  <c r="AJ57" i="4"/>
  <c r="AB25" i="48"/>
  <c r="AG40" i="48"/>
  <c r="X29" i="48"/>
  <c r="U12" i="48"/>
  <c r="J39" i="48"/>
  <c r="L48" i="48"/>
  <c r="F18" i="48"/>
  <c r="N4" i="48"/>
  <c r="J8" i="48"/>
  <c r="K41" i="48"/>
  <c r="T61" i="53"/>
  <c r="AF30" i="53"/>
  <c r="W30" i="53"/>
  <c r="N30" i="53"/>
  <c r="H16" i="48"/>
  <c r="AJ6" i="4"/>
  <c r="AC30" i="4"/>
  <c r="Z30" i="4"/>
  <c r="AJ28" i="4"/>
  <c r="AF39" i="48"/>
  <c r="AJ21" i="4"/>
  <c r="L28" i="48"/>
  <c r="AH47" i="48"/>
  <c r="T4" i="48"/>
  <c r="AE5" i="48"/>
  <c r="AF15" i="48"/>
  <c r="AF21" i="48"/>
  <c r="N12" i="48"/>
  <c r="L19" i="48"/>
  <c r="P45" i="48"/>
  <c r="P17" i="48"/>
  <c r="X45" i="48"/>
  <c r="W51" i="48"/>
  <c r="AC53" i="48"/>
  <c r="I46" i="48"/>
  <c r="AC52" i="48"/>
  <c r="R15" i="48"/>
  <c r="R8" i="48"/>
  <c r="K20" i="48"/>
  <c r="F57" i="48"/>
  <c r="Y41" i="48"/>
  <c r="H37" i="48"/>
  <c r="T20" i="48"/>
  <c r="U61" i="4"/>
  <c r="AJ54" i="4"/>
  <c r="AF7" i="48"/>
  <c r="F20" i="48"/>
  <c r="AD60" i="48"/>
  <c r="AB19" i="48"/>
  <c r="Q46" i="48"/>
  <c r="G54" i="48"/>
  <c r="AD38" i="48"/>
  <c r="Q40" i="48"/>
  <c r="AJ40" i="4"/>
  <c r="E61" i="4"/>
  <c r="V61" i="4"/>
  <c r="AJ4" i="4"/>
  <c r="Q22" i="48"/>
  <c r="AA27" i="48"/>
  <c r="K56" i="48"/>
  <c r="J38" i="48"/>
  <c r="F29" i="48"/>
  <c r="F19" i="48"/>
  <c r="AI20" i="48"/>
  <c r="AE61" i="53"/>
  <c r="Q61" i="53"/>
  <c r="V61" i="53"/>
  <c r="AD30" i="53"/>
  <c r="T30" i="53"/>
  <c r="M13" i="48"/>
  <c r="AC56" i="48"/>
  <c r="Y57" i="48"/>
  <c r="V58" i="48"/>
  <c r="AF61" i="53"/>
  <c r="AL60" i="53"/>
  <c r="AM60" i="53" s="1"/>
  <c r="AL59" i="53"/>
  <c r="AL56" i="53"/>
  <c r="AL55" i="53"/>
  <c r="AL52" i="53"/>
  <c r="AL51" i="53"/>
  <c r="AM51" i="53" s="1"/>
  <c r="AL48" i="53"/>
  <c r="AL46" i="53"/>
  <c r="AL41" i="53"/>
  <c r="AC61" i="53"/>
  <c r="S61" i="53"/>
  <c r="AG61" i="53"/>
  <c r="W61" i="53"/>
  <c r="AL29" i="53"/>
  <c r="AL26" i="53"/>
  <c r="AL24" i="53"/>
  <c r="AL22" i="53"/>
  <c r="AL20" i="53"/>
  <c r="AL19" i="53"/>
  <c r="AL17" i="53"/>
  <c r="AL13" i="53"/>
  <c r="Q30" i="53"/>
  <c r="AE30" i="53"/>
  <c r="AC30" i="53"/>
  <c r="U30" i="53"/>
  <c r="P30" i="4"/>
  <c r="AJ10" i="4"/>
  <c r="G4" i="48"/>
  <c r="AF24" i="48"/>
  <c r="V6" i="48"/>
  <c r="N35" i="48"/>
  <c r="O58" i="48"/>
  <c r="L4" i="48"/>
  <c r="X35" i="48"/>
  <c r="P58" i="48"/>
  <c r="F38" i="48"/>
  <c r="AB61" i="4"/>
  <c r="V35" i="48"/>
  <c r="W17" i="48"/>
  <c r="X23" i="48"/>
  <c r="G27" i="48"/>
  <c r="J20" i="48"/>
  <c r="U21" i="48"/>
  <c r="V38" i="48"/>
  <c r="AB6" i="48"/>
  <c r="AD8" i="48"/>
  <c r="AJ35" i="52"/>
  <c r="J61" i="52"/>
  <c r="K35" i="48"/>
  <c r="K43" i="48"/>
  <c r="AJ43" i="52"/>
  <c r="AD61" i="52"/>
  <c r="AE46" i="48"/>
  <c r="K47" i="48"/>
  <c r="AJ47" i="52"/>
  <c r="AA38" i="48"/>
  <c r="AD36" i="48"/>
  <c r="P36" i="48"/>
  <c r="AJ36" i="4"/>
  <c r="O61" i="4"/>
  <c r="AJ8" i="4"/>
  <c r="AJ37" i="4"/>
  <c r="F39" i="48"/>
  <c r="AJ39" i="52"/>
  <c r="X42" i="48"/>
  <c r="W61" i="52"/>
  <c r="AJ46" i="52"/>
  <c r="O61" i="52"/>
  <c r="P46" i="48"/>
  <c r="AJ55" i="4"/>
  <c r="X51" i="48"/>
  <c r="AJ51" i="4"/>
  <c r="W61" i="4"/>
  <c r="S49" i="48"/>
  <c r="AE47" i="48"/>
  <c r="AJ47" i="4"/>
  <c r="X61" i="4"/>
  <c r="U46" i="48"/>
  <c r="T61" i="4"/>
  <c r="M61" i="4"/>
  <c r="N46" i="48"/>
  <c r="F61" i="4"/>
  <c r="AJ46" i="4"/>
  <c r="AE45" i="48"/>
  <c r="AD61" i="4"/>
  <c r="AJ53" i="52"/>
  <c r="AD53" i="48"/>
  <c r="AJ54" i="52"/>
  <c r="K54" i="48"/>
  <c r="AL50" i="53"/>
  <c r="AL47" i="53"/>
  <c r="AL43" i="53"/>
  <c r="AL42" i="53"/>
  <c r="AL40" i="53"/>
  <c r="U61" i="53"/>
  <c r="AL39" i="53"/>
  <c r="AK61" i="53"/>
  <c r="AA61" i="53"/>
  <c r="K61" i="53"/>
  <c r="AL38" i="53"/>
  <c r="Y61" i="53"/>
  <c r="AL37" i="53"/>
  <c r="G61" i="53"/>
  <c r="AL36" i="53"/>
  <c r="AL28" i="53"/>
  <c r="AL27" i="53"/>
  <c r="AL25" i="53"/>
  <c r="AL23" i="53"/>
  <c r="AL18" i="53"/>
  <c r="AL16" i="53"/>
  <c r="AL15" i="53"/>
  <c r="AL14" i="53"/>
  <c r="AL12" i="53"/>
  <c r="AL11" i="53"/>
  <c r="AL10" i="53"/>
  <c r="AL9" i="53"/>
  <c r="AI30" i="53"/>
  <c r="AA30" i="53"/>
  <c r="S30" i="53"/>
  <c r="AL8" i="53"/>
  <c r="AG30" i="53"/>
  <c r="Y30" i="53"/>
  <c r="AL7" i="53"/>
  <c r="O30" i="53"/>
  <c r="AL6" i="53"/>
  <c r="G30" i="53"/>
  <c r="M30" i="53"/>
  <c r="AJ24" i="4"/>
  <c r="X30" i="4"/>
  <c r="Y24" i="48"/>
  <c r="AC23" i="48"/>
  <c r="AB30" i="4"/>
  <c r="AJ23" i="4"/>
  <c r="M30" i="4"/>
  <c r="N22" i="48"/>
  <c r="AJ22" i="4"/>
  <c r="H20" i="48"/>
  <c r="AJ20" i="4"/>
  <c r="J30" i="4"/>
  <c r="AJ18" i="4"/>
  <c r="AB17" i="48"/>
  <c r="AJ17" i="4"/>
  <c r="AB16" i="48"/>
  <c r="G16" i="48"/>
  <c r="F30" i="4"/>
  <c r="AJ16" i="4"/>
  <c r="AJ14" i="4"/>
  <c r="Q14" i="48"/>
  <c r="O12" i="48"/>
  <c r="H12" i="48"/>
  <c r="AJ12" i="4"/>
  <c r="G30" i="4"/>
  <c r="O10" i="48"/>
  <c r="AH9" i="48"/>
  <c r="I9" i="48"/>
  <c r="H30" i="4"/>
  <c r="AJ9" i="4"/>
  <c r="L5" i="48"/>
  <c r="K30" i="4"/>
  <c r="AJ59" i="4"/>
  <c r="AF59" i="48"/>
  <c r="AG61" i="4"/>
  <c r="AA58" i="48"/>
  <c r="AJ58" i="4"/>
  <c r="T58" i="48"/>
  <c r="S61" i="4"/>
  <c r="F61" i="52"/>
  <c r="G51" i="48"/>
  <c r="AJ59" i="52"/>
  <c r="I61" i="52"/>
  <c r="J59" i="48"/>
  <c r="AL5" i="53"/>
  <c r="AB45" i="48"/>
  <c r="AJ57" i="52"/>
  <c r="I30" i="4"/>
  <c r="J4" i="48"/>
  <c r="F51" i="48"/>
  <c r="AJ51" i="52"/>
  <c r="AJ45" i="52"/>
  <c r="F45" i="48"/>
  <c r="AJ36" i="52"/>
  <c r="K36" i="48"/>
  <c r="R37" i="48"/>
  <c r="Q61" i="52"/>
  <c r="V61" i="52"/>
  <c r="W41" i="48"/>
  <c r="AB61" i="52"/>
  <c r="M61" i="52"/>
  <c r="N45" i="48"/>
  <c r="K30" i="53"/>
  <c r="M61" i="53"/>
  <c r="AJ5" i="4"/>
  <c r="AH44" i="48"/>
  <c r="AJ35" i="4"/>
  <c r="J61" i="4"/>
  <c r="O41" i="48"/>
  <c r="N61" i="52"/>
  <c r="S44" i="48"/>
  <c r="R61" i="52"/>
  <c r="AG30" i="4"/>
  <c r="AJ50" i="52"/>
  <c r="O4" i="48"/>
  <c r="N30" i="4"/>
  <c r="P61" i="4"/>
  <c r="Y35" i="48"/>
  <c r="X61" i="52"/>
  <c r="AF61" i="52"/>
  <c r="AG35" i="48"/>
  <c r="L37" i="48"/>
  <c r="K61" i="52"/>
  <c r="AJ37" i="52"/>
  <c r="AJ41" i="52"/>
  <c r="H41" i="48"/>
  <c r="G61" i="52"/>
  <c r="AE61" i="52"/>
  <c r="AF43" i="48"/>
  <c r="AJ44" i="52"/>
  <c r="L44" i="48"/>
  <c r="M48" i="48"/>
  <c r="AJ48" i="52"/>
  <c r="AJ49" i="52"/>
  <c r="H49" i="48"/>
  <c r="AJ42" i="52"/>
  <c r="H61" i="52"/>
  <c r="I42" i="48"/>
  <c r="AJ58" i="52"/>
  <c r="AH58" i="48"/>
  <c r="AL58" i="53"/>
  <c r="AL54" i="53"/>
  <c r="AL49" i="53"/>
  <c r="AL45" i="53"/>
  <c r="AL44" i="53"/>
  <c r="AC61" i="52"/>
  <c r="AJ30" i="55"/>
  <c r="AF66" i="55" s="1"/>
  <c r="AJ60" i="52"/>
  <c r="Q35" i="48"/>
  <c r="P61" i="52"/>
  <c r="S61" i="52"/>
  <c r="T40" i="48"/>
  <c r="AL35" i="53"/>
  <c r="L30" i="53"/>
  <c r="AL4" i="53"/>
  <c r="AL57" i="53"/>
  <c r="F37" i="48"/>
  <c r="Z61" i="4"/>
  <c r="AD35" i="48"/>
  <c r="AC61" i="4"/>
  <c r="V36" i="48"/>
  <c r="U61" i="52"/>
  <c r="Y61" i="52"/>
  <c r="Z39" i="48"/>
  <c r="AJ40" i="52"/>
  <c r="L61" i="52"/>
  <c r="M40" i="48"/>
  <c r="AC15" i="48"/>
  <c r="K18" i="48"/>
  <c r="L38" i="48"/>
  <c r="S7" i="48"/>
  <c r="N38" i="48"/>
  <c r="S53" i="48"/>
  <c r="AB29" i="52"/>
  <c r="G61" i="48" l="1"/>
  <c r="F30" i="48"/>
  <c r="AK5" i="48"/>
  <c r="P30" i="48"/>
  <c r="Q30" i="48"/>
  <c r="K30" i="48"/>
  <c r="W30" i="48"/>
  <c r="Q61" i="48"/>
  <c r="AK56" i="48"/>
  <c r="AI61" i="48"/>
  <c r="AK40" i="48"/>
  <c r="T30" i="48"/>
  <c r="AK10" i="48"/>
  <c r="Y30" i="48"/>
  <c r="AK44" i="48"/>
  <c r="O61" i="48"/>
  <c r="AK43" i="48"/>
  <c r="AG61" i="48"/>
  <c r="R30" i="48"/>
  <c r="AK8" i="48"/>
  <c r="AK28" i="48"/>
  <c r="AK42" i="48"/>
  <c r="AK60" i="48"/>
  <c r="AM53" i="53"/>
  <c r="AK36" i="48"/>
  <c r="AK45" i="48"/>
  <c r="AK53" i="48"/>
  <c r="AF30" i="48"/>
  <c r="AG30" i="48"/>
  <c r="M61" i="48"/>
  <c r="AH30" i="48"/>
  <c r="N61" i="48"/>
  <c r="AD61" i="48"/>
  <c r="I61" i="48"/>
  <c r="AK14" i="48"/>
  <c r="AK23" i="48"/>
  <c r="AE30" i="48"/>
  <c r="U61" i="48"/>
  <c r="AA30" i="48"/>
  <c r="U30" i="48"/>
  <c r="AK26" i="48"/>
  <c r="AK49" i="48"/>
  <c r="Y61" i="48"/>
  <c r="AK50" i="48"/>
  <c r="R61" i="48"/>
  <c r="AC61" i="48"/>
  <c r="V61" i="48"/>
  <c r="AK48" i="48"/>
  <c r="V30" i="48"/>
  <c r="AK15" i="48"/>
  <c r="AK19" i="48"/>
  <c r="Z30" i="48"/>
  <c r="AK11" i="48"/>
  <c r="AK53" i="4"/>
  <c r="AK6" i="48"/>
  <c r="AK41" i="48"/>
  <c r="AK7" i="48"/>
  <c r="AK57" i="48"/>
  <c r="AK58" i="48"/>
  <c r="AH61" i="48"/>
  <c r="AB61" i="48"/>
  <c r="AK54" i="48"/>
  <c r="AF61" i="48"/>
  <c r="W61" i="48"/>
  <c r="J61" i="48"/>
  <c r="AI30" i="48"/>
  <c r="AK25" i="48"/>
  <c r="AM49" i="53"/>
  <c r="AK13" i="48"/>
  <c r="AK20" i="48"/>
  <c r="Z61" i="48"/>
  <c r="T61" i="48"/>
  <c r="AK27" i="48"/>
  <c r="AK59" i="48"/>
  <c r="AM47" i="53"/>
  <c r="AE61" i="48"/>
  <c r="N30" i="48"/>
  <c r="O30" i="48"/>
  <c r="AK17" i="48"/>
  <c r="X30" i="48"/>
  <c r="H61" i="48"/>
  <c r="AK51" i="48"/>
  <c r="AD30" i="48"/>
  <c r="AK9" i="48"/>
  <c r="F61" i="48"/>
  <c r="AK22" i="48"/>
  <c r="K61" i="48"/>
  <c r="AB30" i="48"/>
  <c r="M30" i="48"/>
  <c r="S61" i="48"/>
  <c r="AK37" i="48"/>
  <c r="I30" i="48"/>
  <c r="AK12" i="48"/>
  <c r="H30" i="48"/>
  <c r="AK47" i="4"/>
  <c r="X61" i="48"/>
  <c r="AA61" i="48"/>
  <c r="AB30" i="52"/>
  <c r="AJ29" i="52"/>
  <c r="AJ30" i="52" s="1"/>
  <c r="AC29" i="48"/>
  <c r="AK29" i="48" s="1"/>
  <c r="AK35" i="48"/>
  <c r="AK56" i="4"/>
  <c r="G30" i="48"/>
  <c r="AK16" i="48"/>
  <c r="AM40" i="53"/>
  <c r="AK38" i="48"/>
  <c r="AK39" i="48"/>
  <c r="AK47" i="48"/>
  <c r="AJ61" i="52"/>
  <c r="AK4" i="48"/>
  <c r="J30" i="48"/>
  <c r="AL30" i="53"/>
  <c r="AK40" i="4"/>
  <c r="AJ30" i="4"/>
  <c r="AL9" i="4" s="1"/>
  <c r="AK55" i="4"/>
  <c r="AK18" i="48"/>
  <c r="AK35" i="4"/>
  <c r="AJ61" i="4"/>
  <c r="AM37" i="4" s="1"/>
  <c r="AL61" i="53"/>
  <c r="P61" i="48"/>
  <c r="L30" i="48"/>
  <c r="L61" i="48"/>
  <c r="S30" i="48"/>
  <c r="AK51" i="4"/>
  <c r="AK46" i="48"/>
  <c r="AK30" i="48" l="1"/>
  <c r="AL16" i="4"/>
  <c r="AN30" i="53"/>
  <c r="AL17" i="4"/>
  <c r="AM51" i="4"/>
  <c r="AM63" i="53"/>
  <c r="AM47" i="4"/>
  <c r="AM55" i="4"/>
  <c r="AM58" i="4"/>
  <c r="AK61" i="48"/>
  <c r="AM36" i="4"/>
  <c r="AM35" i="4"/>
  <c r="AL28" i="4"/>
  <c r="AL25" i="4"/>
  <c r="AL27" i="4"/>
  <c r="AL13" i="4"/>
  <c r="AL4" i="4"/>
  <c r="AL19" i="4"/>
  <c r="AE66" i="55"/>
  <c r="AH66" i="55" s="1"/>
  <c r="AI66" i="55" s="1"/>
  <c r="AL15" i="4"/>
  <c r="AL29" i="4"/>
  <c r="AL11" i="4"/>
  <c r="AF71" i="55"/>
  <c r="AH71" i="55" s="1"/>
  <c r="AI71" i="55" s="1"/>
  <c r="AL21" i="4"/>
  <c r="AL6" i="4"/>
  <c r="AL7" i="4"/>
  <c r="AL10" i="4"/>
  <c r="AL26" i="4"/>
  <c r="AL22" i="4"/>
  <c r="AM39" i="4"/>
  <c r="AM60" i="4"/>
  <c r="AM53" i="4"/>
  <c r="AM44" i="4"/>
  <c r="AM43" i="4"/>
  <c r="AM56" i="4"/>
  <c r="AM50" i="4"/>
  <c r="AM41" i="4"/>
  <c r="AM49" i="4"/>
  <c r="AM52" i="4"/>
  <c r="AM48" i="4"/>
  <c r="AE65" i="55"/>
  <c r="AH65" i="55" s="1"/>
  <c r="AI65" i="55" s="1"/>
  <c r="AM40" i="4"/>
  <c r="AM54" i="4"/>
  <c r="AF70" i="55"/>
  <c r="AH70" i="55" s="1"/>
  <c r="AI70" i="55" s="1"/>
  <c r="AM42" i="4"/>
  <c r="AM57" i="4"/>
  <c r="AM38" i="4"/>
  <c r="AM45" i="4"/>
  <c r="AL5" i="4"/>
  <c r="AL14" i="4"/>
  <c r="AM59" i="4"/>
  <c r="AM46" i="4"/>
  <c r="AL8" i="4"/>
  <c r="AL24" i="4"/>
  <c r="AL12" i="4"/>
  <c r="AL20" i="4"/>
  <c r="AL18" i="4"/>
  <c r="AL23" i="4"/>
  <c r="AC30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abgg21 Ana Belen Gomez Gamez tfno:9252 48349</author>
  </authors>
  <commentList>
    <comment ref="E36" authorId="0" shapeId="0" xr:uid="{CA143A39-0BCF-47E9-88C9-E06B96E70FAF}">
      <text>
        <r>
          <rPr>
            <b/>
            <sz val="9"/>
            <color indexed="81"/>
            <rFont val="Tahoma"/>
            <family val="2"/>
          </rPr>
          <t>abgg21 Ana Belen Gomez Gamez tfno:9252 48349:</t>
        </r>
        <r>
          <rPr>
            <sz val="9"/>
            <color indexed="81"/>
            <rFont val="Tahoma"/>
            <family val="2"/>
          </rPr>
          <t xml:space="preserve">
El formato de asignación de número de licencia no cumple con el formato establecido por EEE, que debería ser: XXXX/YYY/ZZZZZ.
En concreto en el caso de ZZZZZ, en este caso se le asignó un dígito menos (suponemos que lo que le falta es un cero).</t>
        </r>
      </text>
    </comment>
  </commentList>
</comments>
</file>

<file path=xl/sharedStrings.xml><?xml version="1.0" encoding="utf-8"?>
<sst xmlns="http://schemas.openxmlformats.org/spreadsheetml/2006/main" count="1920" uniqueCount="390">
  <si>
    <t>Product Group</t>
  </si>
  <si>
    <t>Personal care products</t>
  </si>
  <si>
    <t>Rinse-off cosmetics products</t>
  </si>
  <si>
    <t>Cleaning-up</t>
  </si>
  <si>
    <t xml:space="preserve">Hard surface cleaning products </t>
  </si>
  <si>
    <t>Detergents for dishwashers</t>
  </si>
  <si>
    <t>Hand dishwashing detergents</t>
  </si>
  <si>
    <t>Laundry detergents</t>
  </si>
  <si>
    <t>Industrial and Institutional laundry detergents</t>
  </si>
  <si>
    <t>Clothing and textiles</t>
  </si>
  <si>
    <t xml:space="preserve">Textiles </t>
  </si>
  <si>
    <t>Footwear</t>
  </si>
  <si>
    <t xml:space="preserve">Do-it-yourslef </t>
  </si>
  <si>
    <t>Indoor and Outdoor paints and varnishes</t>
  </si>
  <si>
    <t>Televisions</t>
  </si>
  <si>
    <t>Hard coverings</t>
  </si>
  <si>
    <t>Furniture and bed matresses</t>
  </si>
  <si>
    <t>Gardening</t>
  </si>
  <si>
    <t>Growing media, soil improvers and mulch</t>
  </si>
  <si>
    <t xml:space="preserve">Lubricants </t>
  </si>
  <si>
    <t>Lubricants</t>
  </si>
  <si>
    <t>Paper products</t>
  </si>
  <si>
    <t xml:space="preserve">Converted paper </t>
  </si>
  <si>
    <t>Printed paper</t>
  </si>
  <si>
    <t xml:space="preserve">Wood-,cork- and Bamboo-based Floor Coverings </t>
  </si>
  <si>
    <r>
      <t>Bed mattresses</t>
    </r>
    <r>
      <rPr>
        <b/>
        <i/>
        <sz val="8"/>
        <color rgb="FF002060"/>
        <rFont val="Calibri"/>
        <family val="2"/>
        <scheme val="minor"/>
      </rPr>
      <t xml:space="preserve"> </t>
    </r>
  </si>
  <si>
    <t>Furniture</t>
  </si>
  <si>
    <t xml:space="preserve">Holiday accommodation </t>
  </si>
  <si>
    <t>Tourist accommodation services</t>
  </si>
  <si>
    <t xml:space="preserve">Coverings </t>
  </si>
  <si>
    <t xml:space="preserve">Electronic equipment </t>
  </si>
  <si>
    <t>France</t>
  </si>
  <si>
    <t>Luxembourg</t>
  </si>
  <si>
    <t>CZ</t>
  </si>
  <si>
    <t>Total EU Ecolabel licences per CB per product group</t>
  </si>
  <si>
    <t>AT</t>
  </si>
  <si>
    <t>BE</t>
  </si>
  <si>
    <t>BG</t>
  </si>
  <si>
    <t>HR</t>
  </si>
  <si>
    <t>CY</t>
  </si>
  <si>
    <t>DK</t>
  </si>
  <si>
    <t>EE</t>
  </si>
  <si>
    <t>FI</t>
  </si>
  <si>
    <t>FR</t>
  </si>
  <si>
    <t>DE</t>
  </si>
  <si>
    <t>HU</t>
  </si>
  <si>
    <t>IS</t>
  </si>
  <si>
    <t>IE</t>
  </si>
  <si>
    <t>IT</t>
  </si>
  <si>
    <t>LV</t>
  </si>
  <si>
    <t>LT</t>
  </si>
  <si>
    <t>LU</t>
  </si>
  <si>
    <t>MT</t>
  </si>
  <si>
    <t>NL</t>
  </si>
  <si>
    <t>NO</t>
  </si>
  <si>
    <t>PT</t>
  </si>
  <si>
    <t>RO</t>
  </si>
  <si>
    <t>SK</t>
  </si>
  <si>
    <t>SI</t>
  </si>
  <si>
    <t>ES</t>
  </si>
  <si>
    <t>SE</t>
  </si>
  <si>
    <t>Total per PG</t>
  </si>
  <si>
    <t>Total</t>
  </si>
  <si>
    <t>Total EU Ecolabel products per CB per product group</t>
  </si>
  <si>
    <t>Austria</t>
  </si>
  <si>
    <t>Spain</t>
  </si>
  <si>
    <t>Belgium</t>
  </si>
  <si>
    <t>Italy</t>
  </si>
  <si>
    <t>Bulgaria</t>
  </si>
  <si>
    <t>Germany</t>
  </si>
  <si>
    <t>Croatia</t>
  </si>
  <si>
    <t>Cyprus</t>
  </si>
  <si>
    <t>Greece</t>
  </si>
  <si>
    <t>Czech Republic</t>
  </si>
  <si>
    <t>Sweden</t>
  </si>
  <si>
    <t>Denmark</t>
  </si>
  <si>
    <t>Netherlands</t>
  </si>
  <si>
    <t>Finland</t>
  </si>
  <si>
    <t>Estonia</t>
  </si>
  <si>
    <t>Poland</t>
  </si>
  <si>
    <t>Portugal</t>
  </si>
  <si>
    <t>Hungary</t>
  </si>
  <si>
    <t>Iceland</t>
  </si>
  <si>
    <t>Ireland</t>
  </si>
  <si>
    <t>Slovenia</t>
  </si>
  <si>
    <t>Lithuania</t>
  </si>
  <si>
    <t>Latvia</t>
  </si>
  <si>
    <t>Romania</t>
  </si>
  <si>
    <t>Norway</t>
  </si>
  <si>
    <t>Malta</t>
  </si>
  <si>
    <t>Slovak Republic</t>
  </si>
  <si>
    <t>Category</t>
  </si>
  <si>
    <t>030</t>
  </si>
  <si>
    <t>047</t>
  </si>
  <si>
    <t>020</t>
  </si>
  <si>
    <t>015</t>
  </si>
  <si>
    <t>038</t>
  </si>
  <si>
    <t>019</t>
  </si>
  <si>
    <t>06</t>
  </si>
  <si>
    <t>039</t>
  </si>
  <si>
    <t>016</t>
  </si>
  <si>
    <t>017</t>
  </si>
  <si>
    <t>044</t>
  </si>
  <si>
    <t>022</t>
  </si>
  <si>
    <t>021</t>
  </si>
  <si>
    <t>049</t>
  </si>
  <si>
    <t>014</t>
  </si>
  <si>
    <t>048</t>
  </si>
  <si>
    <t>027</t>
  </si>
  <si>
    <t>046</t>
  </si>
  <si>
    <t>028</t>
  </si>
  <si>
    <t>011</t>
  </si>
  <si>
    <t>004</t>
  </si>
  <si>
    <t>051</t>
  </si>
  <si>
    <t xml:space="preserve">Product Group Code </t>
  </si>
  <si>
    <t>035</t>
  </si>
  <si>
    <t>052</t>
  </si>
  <si>
    <t>Country</t>
  </si>
  <si>
    <t>response ?</t>
  </si>
  <si>
    <t>Hard surface cleaning products</t>
  </si>
  <si>
    <t>IT TEAM</t>
  </si>
  <si>
    <t>PL</t>
  </si>
  <si>
    <t xml:space="preserve">Indoor Cleaning services </t>
  </si>
  <si>
    <t>Indoor cleaning services</t>
  </si>
  <si>
    <t xml:space="preserve">Indoor cleaning services </t>
  </si>
  <si>
    <t>Dishwasher detergents</t>
  </si>
  <si>
    <t>Industrial and institutional dishwasher detergents</t>
  </si>
  <si>
    <t>Textiles products</t>
  </si>
  <si>
    <t>Graphic Paper</t>
  </si>
  <si>
    <t>Tissue paper and tissue products</t>
  </si>
  <si>
    <t>Electronic displays</t>
  </si>
  <si>
    <t>Printed paper, stationery paper and paper carrier bag products</t>
  </si>
  <si>
    <t>053</t>
  </si>
  <si>
    <t>Northern Ireland</t>
  </si>
  <si>
    <t>UK</t>
  </si>
  <si>
    <t>EL</t>
  </si>
  <si>
    <t>GB-NIR</t>
  </si>
  <si>
    <t xml:space="preserve">HR </t>
  </si>
  <si>
    <t>-</t>
  </si>
  <si>
    <t>GR</t>
  </si>
  <si>
    <t>Industrial and Institutional Laundry Detergents</t>
  </si>
  <si>
    <t>006</t>
  </si>
  <si>
    <t>Indoor and outdoor paints and varnishes</t>
  </si>
  <si>
    <t xml:space="preserve">Bed mattresses </t>
  </si>
  <si>
    <t>001</t>
  </si>
  <si>
    <t>050</t>
  </si>
  <si>
    <t>Chainsaw oils, concrete release agents, wire rope lubricants, stern tube oils and other total loss lubricants</t>
  </si>
  <si>
    <t>Industrial and Institutional Automatic Dishwasher Detergents</t>
  </si>
  <si>
    <t>All purpose cleaners and cleaners for sanitary facilities</t>
  </si>
  <si>
    <t>Hydraulic fluids and tractor transmission oils</t>
  </si>
  <si>
    <t>Grease and stern tube greases</t>
  </si>
  <si>
    <t>30</t>
  </si>
  <si>
    <t>037</t>
  </si>
  <si>
    <t>Newsprint paper</t>
  </si>
  <si>
    <t>Tissue paper</t>
  </si>
  <si>
    <t>031</t>
  </si>
  <si>
    <t>Heat pumps</t>
  </si>
  <si>
    <t>036</t>
  </si>
  <si>
    <t>TOTAL_PER_PG</t>
  </si>
  <si>
    <t>PRODUCT_GROUP_CODE</t>
  </si>
  <si>
    <t>PRODUCT_GROUP</t>
  </si>
  <si>
    <t>NI</t>
  </si>
  <si>
    <t>SORT_ORDER</t>
  </si>
  <si>
    <t xml:space="preserve">Licences missing on ECAT </t>
  </si>
  <si>
    <t xml:space="preserve">Products missing on ECAT </t>
  </si>
  <si>
    <t>Campsites</t>
  </si>
  <si>
    <t>Increase</t>
  </si>
  <si>
    <t>%</t>
  </si>
  <si>
    <t xml:space="preserve">Do-it-yourself </t>
  </si>
  <si>
    <t>GBNIR</t>
  </si>
  <si>
    <t>054</t>
  </si>
  <si>
    <t>Animal care products</t>
  </si>
  <si>
    <t>Cosmetic products</t>
  </si>
  <si>
    <t>Hard covering products</t>
  </si>
  <si>
    <t>Follow up (2nd reminder)</t>
  </si>
  <si>
    <t>1st reminder</t>
  </si>
  <si>
    <t>Indoor Cleaning Services</t>
  </si>
  <si>
    <t>Electronic Displays</t>
  </si>
  <si>
    <t>Tourist accommodation</t>
  </si>
  <si>
    <t>Furniture and bed mattresses</t>
  </si>
  <si>
    <t>Growing media and soil improvers</t>
  </si>
  <si>
    <t xml:space="preserve">Growing media and soil improvers </t>
  </si>
  <si>
    <t>Category2</t>
  </si>
  <si>
    <t>Product Group3</t>
  </si>
  <si>
    <t>xx = Statistiken bereits bestätigt x= bearbeitet, y= erhalten aber noch nicht bearbeitet</t>
  </si>
  <si>
    <t>X</t>
  </si>
  <si>
    <t>DISCRIMINATOR</t>
  </si>
  <si>
    <t>PRODUCT_GROUP_CATEGORY_KEY</t>
  </si>
  <si>
    <t>KEY</t>
  </si>
  <si>
    <t>ACRONYM</t>
  </si>
  <si>
    <t>'AT'</t>
  </si>
  <si>
    <t>'BE'</t>
  </si>
  <si>
    <t>'BG'</t>
  </si>
  <si>
    <t>'CY'</t>
  </si>
  <si>
    <t>'CZ'</t>
  </si>
  <si>
    <t>'DE'</t>
  </si>
  <si>
    <t>'DK'</t>
  </si>
  <si>
    <t>'EE'</t>
  </si>
  <si>
    <t>'ES'</t>
  </si>
  <si>
    <t>'FI'</t>
  </si>
  <si>
    <t>'FR'</t>
  </si>
  <si>
    <t>'GR'</t>
  </si>
  <si>
    <t>'HR'</t>
  </si>
  <si>
    <t>'HU'</t>
  </si>
  <si>
    <t>'IE'</t>
  </si>
  <si>
    <t>'IT'</t>
  </si>
  <si>
    <t>'LT'</t>
  </si>
  <si>
    <t>'LU'</t>
  </si>
  <si>
    <t>'LV'</t>
  </si>
  <si>
    <t>'MT'</t>
  </si>
  <si>
    <t>'NL'</t>
  </si>
  <si>
    <t>'NO'</t>
  </si>
  <si>
    <t>'PL'</t>
  </si>
  <si>
    <t>'PT'</t>
  </si>
  <si>
    <t>'RO'</t>
  </si>
  <si>
    <t>'SE'</t>
  </si>
  <si>
    <t>'SI'</t>
  </si>
  <si>
    <t>'SK'</t>
  </si>
  <si>
    <t>PRODUCT</t>
  </si>
  <si>
    <t>Dishwasher Detergents</t>
  </si>
  <si>
    <t>Hard Surface Cleaning Products</t>
  </si>
  <si>
    <t>Industrial and Institutional Dishwasher Detergents</t>
  </si>
  <si>
    <t>Cosmetic Products</t>
  </si>
  <si>
    <t>SERVICE</t>
  </si>
  <si>
    <t>Summe</t>
  </si>
  <si>
    <t>Electronic equipment</t>
  </si>
  <si>
    <t>Reusable menstrual cups</t>
  </si>
  <si>
    <t>055</t>
  </si>
  <si>
    <t>Absorbent hygiene products (2014 criteria)</t>
  </si>
  <si>
    <t>Absorbent hygiene products (new 2023 criteria)</t>
  </si>
  <si>
    <t>x</t>
  </si>
  <si>
    <t xml:space="preserve">Missing xx: </t>
  </si>
  <si>
    <t>Missing x:</t>
  </si>
  <si>
    <t>xx</t>
  </si>
  <si>
    <t>Absorbent hygiene products</t>
  </si>
  <si>
    <t>Mar 24</t>
  </si>
  <si>
    <t>Absorbent hygiene products (2014 criteria - expired)</t>
  </si>
  <si>
    <r>
      <t>Bed mattresses</t>
    </r>
    <r>
      <rPr>
        <b/>
        <i/>
        <sz val="12"/>
        <color rgb="FF002060"/>
        <rFont val="Calibri"/>
        <family val="2"/>
        <scheme val="minor"/>
      </rPr>
      <t xml:space="preserve"> </t>
    </r>
  </si>
  <si>
    <t>CATEGORÍA DE PRODUCTO</t>
  </si>
  <si>
    <t>ORGANIZACIÓN</t>
  </si>
  <si>
    <t>PRODUCTOS</t>
  </si>
  <si>
    <t>Nº REGISTRO</t>
  </si>
  <si>
    <t>PINTURAS JAFEP</t>
  </si>
  <si>
    <t>P.P Mate "EasyClean"
Código: 020705</t>
  </si>
  <si>
    <t>ES08/044/00003</t>
  </si>
  <si>
    <t>Pinecol 
Código: 02028</t>
  </si>
  <si>
    <t>PINTURAS DE LA PEÑA</t>
  </si>
  <si>
    <t>MATE EXTRA SIN OLOR AG+</t>
  </si>
  <si>
    <t>ES08/044/00012</t>
  </si>
  <si>
    <t>NATUR 1000 AG+</t>
  </si>
  <si>
    <t>PINTURAS DECOLOR</t>
  </si>
  <si>
    <t>DELUXE</t>
  </si>
  <si>
    <t>ES08/044/0013</t>
  </si>
  <si>
    <t>PINTURAS IRIS COLOR</t>
  </si>
  <si>
    <t>PINTURA MATE PLÁSTICA ECOLÓGICA</t>
  </si>
  <si>
    <t>ES08/044/00020</t>
  </si>
  <si>
    <t>PINTURAS MACY</t>
  </si>
  <si>
    <t>PLÁSTICO MATE UNA CAPA ECOLÓGICO
Código: 19001</t>
  </si>
  <si>
    <t>ES08/044/00004</t>
  </si>
  <si>
    <t>PINTURAS RODAFUERTE</t>
  </si>
  <si>
    <t>SLOW ATMOSPHERE ECOLOGIC SYSTEM. 
Código: 5046</t>
  </si>
  <si>
    <t>ES08/044/0005</t>
  </si>
  <si>
    <t>CASA KIRIKO</t>
  </si>
  <si>
    <t>LIMPIADOR DESENGRASANTE EDENYA</t>
  </si>
  <si>
    <t>ES08/020/00023</t>
  </si>
  <si>
    <t>LIMPIAHOGAR MULTIUSOS EDENYA</t>
  </si>
  <si>
    <t>LIMPIADOR WC BAÑOS EDENYA</t>
  </si>
  <si>
    <t>LIMPIAHOGAR MULTIUSOS CONCENTRADO EDENYA</t>
  </si>
  <si>
    <t>VINAGRE DE LIMPIEZA EDENYA</t>
  </si>
  <si>
    <t>ADIS HIGIENE, SL</t>
  </si>
  <si>
    <t>SUPERA NATURAL DESENGRASANTE</t>
  </si>
  <si>
    <t>ES08/020/00025</t>
  </si>
  <si>
    <t>SUPERA NATURAL MULTIUSOS LIMPIACRISTALES</t>
  </si>
  <si>
    <t>SUPERA NATURAL LIMPIADOR NEUTRO PERFUMADO</t>
  </si>
  <si>
    <t>SUPERA NATURAL LIMPIADOR AMONIACAL</t>
  </si>
  <si>
    <t>SUPERA NATURAL LIMPIADOR ÁCIDO</t>
  </si>
  <si>
    <t xml:space="preserve">PRODUCTOS QUÍMICOS G2 GREEN, S.L </t>
  </si>
  <si>
    <t>GREEN GRASS</t>
  </si>
  <si>
    <t>ES08/020/00018</t>
  </si>
  <si>
    <t>GREEN STAR</t>
  </si>
  <si>
    <t>GREEN CLEAN</t>
  </si>
  <si>
    <t>GREEN GLASS</t>
  </si>
  <si>
    <t>LABORATORIOS VINFER, S.A</t>
  </si>
  <si>
    <t>VINFER PROFESIONAL LÍNEA
 ECOLÓGICA-MULTIUSOS</t>
  </si>
  <si>
    <t>ES08/020/00010</t>
  </si>
  <si>
    <t>VINFER PROFESIONAL LÍNEA ECOLÓGICA-LIMPIACRISTALES</t>
  </si>
  <si>
    <t>VINFER PROFESIONAL LÍNEA ECOLÓGICA-LIMPIADOR NEUTRO SUELOS</t>
  </si>
  <si>
    <t>VINFER PROFESIONAL LÍNEA ECOLÓGICA-DESENGRASANTE</t>
  </si>
  <si>
    <t>VINFER PROFESIONAL LÍNEA ECOLÓGICA-LIMPIADOR BAÑOS</t>
  </si>
  <si>
    <t>VINFER STOPTOX</t>
  </si>
  <si>
    <t>ES08/020/00014</t>
  </si>
  <si>
    <t>INOCENTE GARCÍA</t>
  </si>
  <si>
    <t>FAYMAN ECOLOGIC MULTIUSOS</t>
  </si>
  <si>
    <t>ES08/020/00001</t>
  </si>
  <si>
    <t>FAYMAN ECOLOGIC LIMPIACRISTALES</t>
  </si>
  <si>
    <t>ES08/020/00002</t>
  </si>
  <si>
    <t>FAYMAN ECOLOGIC FREGASUELOS</t>
  </si>
  <si>
    <t>ES08/020/00003</t>
  </si>
  <si>
    <t>FAYMAN ECOLOGIC DESENGRASANTE</t>
  </si>
  <si>
    <t>ES08/020/00004</t>
  </si>
  <si>
    <t>FAYMAN ECOLOGIC BAÑOS</t>
  </si>
  <si>
    <t>ES08/020/00005</t>
  </si>
  <si>
    <t>VINFER LÍNEA ZERO - LAVAVAJILLAS</t>
  </si>
  <si>
    <t>ES08/019/0019</t>
  </si>
  <si>
    <t>LAVAVAJILLAS BIOLEAF</t>
  </si>
  <si>
    <t>LAVAVAJILLAS MANUAL CONCENTRADO EDENYA</t>
  </si>
  <si>
    <t>ES08/019/00021</t>
  </si>
  <si>
    <t>GREEN HAND</t>
  </si>
  <si>
    <t>ES08/019/00017</t>
  </si>
  <si>
    <t>FAYMAN ECOLOGIC VAJILLAS MANUAL</t>
  </si>
  <si>
    <t>ES08/019/00006</t>
  </si>
  <si>
    <t xml:space="preserve">INDUSTRIAS QUÍMICAS DINTEL, S.L </t>
  </si>
  <si>
    <t>ECOMIMIDU</t>
  </si>
  <si>
    <t>ES08/006/00015</t>
  </si>
  <si>
    <t>GREEN WASH</t>
  </si>
  <si>
    <t>ES08/039/00026</t>
  </si>
  <si>
    <t>JABÓN DE MANOS DERMO EDENYA</t>
  </si>
  <si>
    <t>ES08/030/00024</t>
  </si>
  <si>
    <t>PAPEL</t>
  </si>
  <si>
    <t>MANIPULADOS LISMA, SLU</t>
  </si>
  <si>
    <t>Higiénico doméstico 100% celulosa</t>
  </si>
  <si>
    <t>Higiénico doméstico RECICLADO 1ª</t>
  </si>
  <si>
    <t>Higiénico doméstico RECICLADO 2ª</t>
  </si>
  <si>
    <t>Higiénico doméstico Econature</t>
  </si>
  <si>
    <t>Higiénico INDUSTRIAL 100% celulosa</t>
  </si>
  <si>
    <t>Higiénico INDUSTRIAL Reciclado 1ª</t>
  </si>
  <si>
    <t>Higiénico INDUSTRIAL Reciclado 2ª</t>
  </si>
  <si>
    <t>Higiénico doméstico RECICLADO RB</t>
  </si>
  <si>
    <t>Higiénico INDUSTRIAL Econature</t>
  </si>
  <si>
    <t>Bobina de mecánico 100% Celulosa</t>
  </si>
  <si>
    <t>Bobina de mecánico Ecopasta</t>
  </si>
  <si>
    <t>Bobina mecánico Reciclado RB</t>
  </si>
  <si>
    <t>Bobina mecánico Reciclado RB2</t>
  </si>
  <si>
    <t>Bobina mecánico Reciclado Reci</t>
  </si>
  <si>
    <t>Bobina mecánico Econature</t>
  </si>
  <si>
    <t>Bobina Secamanos 100% Celulosa</t>
  </si>
  <si>
    <t>Bobina Secamanos Ecopasta</t>
  </si>
  <si>
    <t>Bobina Secamanos Reciclado RB</t>
  </si>
  <si>
    <t>Bobina Secamanos RB2</t>
  </si>
  <si>
    <t xml:space="preserve">Bobina Secamanos Reci  </t>
  </si>
  <si>
    <t>Bobina Secamanos Econature</t>
  </si>
  <si>
    <t>Bobina Multiusos 100% Celulosa</t>
  </si>
  <si>
    <t>Bobina Multiusos Ecopasta</t>
  </si>
  <si>
    <t>Bobina Multiusos Reciclado RB</t>
  </si>
  <si>
    <t>Bobina Multiusos Econature</t>
  </si>
  <si>
    <t>Rollo Camilla 100% Celulosa</t>
  </si>
  <si>
    <t>Rollo Camilla Ecopasta</t>
  </si>
  <si>
    <t>Rollo Camilla Econature</t>
  </si>
  <si>
    <t>Rollo Camilla Reciclado natural</t>
  </si>
  <si>
    <t>Rollo Autocut/contromatic 100%celulosa</t>
  </si>
  <si>
    <t>Rollo Autocut/contromatic Ecopasta</t>
  </si>
  <si>
    <t>Rollo Autocut/contromatic Econature</t>
  </si>
  <si>
    <t>Rollo Autocut/contromatic Reciclado natural</t>
  </si>
  <si>
    <t>Toalla ZZ (plegada V) 100% Celulosa</t>
  </si>
  <si>
    <t>Toalla ZZ (plegada V) Ecopasta</t>
  </si>
  <si>
    <t>Toalla ZZ (plegada V) Econature</t>
  </si>
  <si>
    <t>Servilletas 100% Celulosa</t>
  </si>
  <si>
    <t>Servilletas Ecopasta</t>
  </si>
  <si>
    <t>Servilletas Sulfito</t>
  </si>
  <si>
    <t>Servilletas Econature</t>
  </si>
  <si>
    <t>Rollo Maxiroll 100% celulosa</t>
  </si>
  <si>
    <t xml:space="preserve">Rollo Maxiroll Ecopasta </t>
  </si>
  <si>
    <t>Rollo Maxiroll Econature</t>
  </si>
  <si>
    <t>Rollo Cocina 100% celulosa</t>
  </si>
  <si>
    <t>Rollo Cocina Ecopasta</t>
  </si>
  <si>
    <t>Rollo Coccina Econature</t>
  </si>
  <si>
    <t>PINTURAS Y BARNICES (044)</t>
  </si>
  <si>
    <t>LIMPIEZA SUPERFICIES DURAS
(020)</t>
  </si>
  <si>
    <t>LAVAVAJILLAS
(019)</t>
  </si>
  <si>
    <t>DETERGENTE DE LAVANDERÍA
(006)</t>
  </si>
  <si>
    <t>DETERGENTE DE LAVANDERÍA INDUSTRIAL
(039)</t>
  </si>
  <si>
    <t>COSMÉTICOS 
(030)</t>
  </si>
  <si>
    <t>PAPEL
(004)</t>
  </si>
  <si>
    <t>ES08/004/0007</t>
  </si>
  <si>
    <t>PINTURAS Y BARNICES</t>
  </si>
  <si>
    <t>LIMPIEZA SUPERFICIES DURAS</t>
  </si>
  <si>
    <t>LAVAVAJILLAS</t>
  </si>
  <si>
    <t>DETERGENTE LAVANDERÍA</t>
  </si>
  <si>
    <t>DETERGENTE LAVANDERÍA INDUSTRIAL</t>
  </si>
  <si>
    <t>COSMÉTICOS</t>
  </si>
  <si>
    <t>Albacete</t>
  </si>
  <si>
    <t>Cuenca</t>
  </si>
  <si>
    <t>Ciudad Real</t>
  </si>
  <si>
    <t>Toledo</t>
  </si>
  <si>
    <t>Guadalajara</t>
  </si>
  <si>
    <t>CATEGORÍAS DE PRODUCTOS</t>
  </si>
  <si>
    <t>GRUPO DE PRODUCTOS</t>
  </si>
  <si>
    <t>CÓDIGO</t>
  </si>
  <si>
    <t>LICENCIAS TOTALES MARZO 2025</t>
  </si>
  <si>
    <t>PRODUCTOS TOTALES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</si>
</sst>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0;\-0;;@"/>
    <numFmt numFmtId="165" formatCode="_-[$€]\ * #,##0.00_-;\-[$€]\ * #,##0.00_-;_-[$€]\ * &quot;-&quot;??_-;_-@_-"/>
    <numFmt numFmtId="166" formatCode="_-[$€]\ * #,##0.00_-;\-[$€]\ * #,##0.00_-;_-[$€]\ * \-??_-;_-@_-"/>
    <numFmt numFmtId="167" formatCode="0\ %"/>
    <numFmt numFmtId="168" formatCode="0.0%"/>
    <numFmt numFmtId="169" formatCode="0&quot; &quot;%"/>
    <numFmt numFmtId="170" formatCode="&quot; &quot;[$€]&quot; &quot;* #,##0.00&quot; &quot;;&quot;-&quot;[$€]&quot; &quot;* #,##0.00&quot; &quot;;&quot; &quot;[$€]&quot; &quot;* &quot;-&quot;#&quot; &quot;;&quot; &quot;@&quot; &quot;"/>
  </numFmts>
  <fonts count="6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1"/>
      <color rgb="FF0563C1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rgb="FF0000FF"/>
      <name val="Arial"/>
      <family val="2"/>
      <charset val="1"/>
    </font>
    <font>
      <u/>
      <sz val="11"/>
      <color rgb="FF0563C1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1"/>
    </font>
    <font>
      <b/>
      <sz val="12"/>
      <color rgb="FF000000"/>
      <name val="Calibri"/>
      <family val="2"/>
    </font>
    <font>
      <sz val="11"/>
      <name val="Dialog"/>
    </font>
    <font>
      <b/>
      <sz val="11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u/>
      <sz val="10"/>
      <color rgb="FF0000FF"/>
      <name val="Arial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sz val="12"/>
      <color theme="1"/>
      <name val="Aptos"/>
      <family val="2"/>
    </font>
    <font>
      <b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2060"/>
      <name val="Calibri"/>
      <family val="2"/>
      <scheme val="minor"/>
    </font>
    <font>
      <b/>
      <sz val="10.5"/>
      <color rgb="FF002060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b/>
      <sz val="11"/>
      <color rgb="FF002060"/>
      <name val="Calibri"/>
      <family val="2"/>
    </font>
    <font>
      <sz val="11"/>
      <color theme="0" tint="-4.9989318521683403E-2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 style="thick">
        <color rgb="FF00B0F0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/>
      <top/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theme="0"/>
      </right>
      <top style="thick">
        <color theme="0"/>
      </top>
      <bottom/>
      <diagonal/>
    </border>
    <border>
      <left style="thick">
        <color rgb="FF00B0F0"/>
      </left>
      <right style="thick">
        <color theme="0"/>
      </right>
      <top/>
      <bottom style="thick">
        <color theme="0"/>
      </bottom>
      <diagonal/>
    </border>
    <border>
      <left style="thick">
        <color rgb="FF00B0F0"/>
      </left>
      <right style="thick">
        <color theme="0"/>
      </right>
      <top/>
      <bottom/>
      <diagonal/>
    </border>
    <border>
      <left style="thick">
        <color rgb="FF00B0F0"/>
      </left>
      <right style="thick">
        <color theme="0"/>
      </right>
      <top style="thick">
        <color theme="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/>
      <bottom/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/>
      <top style="thin">
        <color indexed="64"/>
      </top>
      <bottom style="thick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31639B"/>
      </left>
      <right style="thick">
        <color rgb="FF00B0F0"/>
      </right>
      <top style="medium">
        <color rgb="FF31639B"/>
      </top>
      <bottom style="medium">
        <color rgb="FF31639B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rgb="FF00B0F0"/>
      </left>
      <right style="thick">
        <color rgb="FF00B0F0"/>
      </right>
      <top/>
      <bottom style="thin">
        <color indexed="64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medium">
        <color rgb="FF31639B"/>
      </left>
      <right style="thick">
        <color rgb="FF00B0F0"/>
      </right>
      <top/>
      <bottom/>
      <diagonal/>
    </border>
    <border>
      <left style="medium">
        <color rgb="FF31639B"/>
      </left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6">
    <xf numFmtId="0" fontId="0" fillId="0" borderId="0"/>
    <xf numFmtId="0" fontId="11" fillId="0" borderId="0" applyNumberFormat="0" applyFill="0" applyBorder="0" applyAlignment="0" applyProtection="0"/>
    <xf numFmtId="0" fontId="12" fillId="0" borderId="0"/>
    <xf numFmtId="0" fontId="13" fillId="0" borderId="0" applyNumberFormat="0" applyBorder="0" applyProtection="0"/>
    <xf numFmtId="0" fontId="14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165" fontId="15" fillId="0" borderId="0" applyFont="0" applyFill="0" applyBorder="0" applyAlignment="0" applyProtection="0"/>
    <xf numFmtId="0" fontId="15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9" fontId="21" fillId="0" borderId="0" applyFont="0" applyFill="0" applyBorder="0" applyAlignment="0" applyProtection="0"/>
    <xf numFmtId="0" fontId="15" fillId="0" borderId="0"/>
    <xf numFmtId="0" fontId="18" fillId="0" borderId="0"/>
    <xf numFmtId="167" fontId="23" fillId="0" borderId="0" applyBorder="0" applyProtection="0"/>
    <xf numFmtId="0" fontId="27" fillId="0" borderId="0"/>
    <xf numFmtId="0" fontId="23" fillId="0" borderId="0"/>
    <xf numFmtId="0" fontId="27" fillId="0" borderId="0"/>
    <xf numFmtId="0" fontId="24" fillId="0" borderId="0" applyBorder="0" applyProtection="0"/>
    <xf numFmtId="166" fontId="23" fillId="0" borderId="0" applyBorder="0" applyProtection="0"/>
    <xf numFmtId="0" fontId="26" fillId="0" borderId="0"/>
    <xf numFmtId="0" fontId="28" fillId="0" borderId="0"/>
    <xf numFmtId="0" fontId="28" fillId="0" borderId="0"/>
    <xf numFmtId="0" fontId="25" fillId="0" borderId="0" applyBorder="0" applyProtection="0"/>
    <xf numFmtId="0" fontId="23" fillId="0" borderId="0"/>
    <xf numFmtId="0" fontId="26" fillId="0" borderId="0"/>
    <xf numFmtId="0" fontId="23" fillId="0" borderId="0"/>
    <xf numFmtId="0" fontId="26" fillId="0" borderId="0"/>
    <xf numFmtId="0" fontId="27" fillId="0" borderId="0"/>
    <xf numFmtId="0" fontId="30" fillId="0" borderId="0"/>
    <xf numFmtId="0" fontId="26" fillId="0" borderId="0"/>
    <xf numFmtId="0" fontId="32" fillId="0" borderId="0"/>
    <xf numFmtId="0" fontId="37" fillId="0" borderId="0"/>
    <xf numFmtId="0" fontId="47" fillId="21" borderId="0"/>
    <xf numFmtId="0" fontId="38" fillId="0" borderId="0"/>
    <xf numFmtId="0" fontId="39" fillId="14" borderId="0"/>
    <xf numFmtId="0" fontId="39" fillId="15" borderId="0"/>
    <xf numFmtId="0" fontId="38" fillId="16" borderId="0"/>
    <xf numFmtId="0" fontId="40" fillId="17" borderId="0"/>
    <xf numFmtId="0" fontId="41" fillId="0" borderId="0"/>
    <xf numFmtId="0" fontId="41" fillId="0" borderId="0"/>
    <xf numFmtId="0" fontId="39" fillId="18" borderId="0"/>
    <xf numFmtId="0" fontId="39" fillId="19" borderId="0"/>
    <xf numFmtId="170" fontId="37" fillId="0" borderId="0"/>
    <xf numFmtId="170" fontId="37" fillId="0" borderId="0"/>
    <xf numFmtId="169" fontId="37" fillId="0" borderId="0"/>
    <xf numFmtId="0" fontId="42" fillId="0" borderId="0"/>
    <xf numFmtId="0" fontId="43" fillId="20" borderId="0"/>
    <xf numFmtId="0" fontId="44" fillId="0" borderId="0"/>
    <xf numFmtId="0" fontId="45" fillId="0" borderId="0"/>
    <xf numFmtId="0" fontId="33" fillId="0" borderId="0"/>
    <xf numFmtId="0" fontId="46" fillId="0" borderId="0"/>
    <xf numFmtId="0" fontId="13" fillId="0" borderId="0"/>
    <xf numFmtId="0" fontId="13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8" fillId="21" borderId="35"/>
    <xf numFmtId="169" fontId="37" fillId="0" borderId="0"/>
    <xf numFmtId="0" fontId="49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57" fillId="23" borderId="0" applyNumberFormat="0" applyBorder="0" applyAlignment="0" applyProtection="0"/>
  </cellStyleXfs>
  <cellXfs count="174">
    <xf numFmtId="0" fontId="0" fillId="0" borderId="0" xfId="0"/>
    <xf numFmtId="0" fontId="0" fillId="0" borderId="6" xfId="0" applyBorder="1"/>
    <xf numFmtId="164" fontId="5" fillId="2" borderId="0" xfId="0" applyNumberFormat="1" applyFont="1" applyFill="1" applyAlignment="1">
      <alignment horizontal="left" wrapText="1"/>
    </xf>
    <xf numFmtId="164" fontId="1" fillId="5" borderId="0" xfId="0" applyNumberFormat="1" applyFont="1" applyFill="1" applyAlignment="1">
      <alignment horizontal="left" vertical="center"/>
    </xf>
    <xf numFmtId="0" fontId="0" fillId="0" borderId="7" xfId="0" applyBorder="1"/>
    <xf numFmtId="164" fontId="1" fillId="5" borderId="3" xfId="0" applyNumberFormat="1" applyFont="1" applyFill="1" applyBorder="1" applyAlignment="1">
      <alignment horizontal="left" vertical="center"/>
    </xf>
    <xf numFmtId="164" fontId="1" fillId="5" borderId="4" xfId="0" applyNumberFormat="1" applyFont="1" applyFill="1" applyBorder="1" applyAlignment="1">
      <alignment horizontal="left" vertical="center"/>
    </xf>
    <xf numFmtId="0" fontId="2" fillId="5" borderId="4" xfId="0" applyFont="1" applyFill="1" applyBorder="1"/>
    <xf numFmtId="0" fontId="0" fillId="5" borderId="4" xfId="0" applyFill="1" applyBorder="1"/>
    <xf numFmtId="0" fontId="0" fillId="5" borderId="5" xfId="0" applyFill="1" applyBorder="1"/>
    <xf numFmtId="164" fontId="1" fillId="5" borderId="6" xfId="0" applyNumberFormat="1" applyFont="1" applyFill="1" applyBorder="1" applyAlignment="1">
      <alignment horizontal="left" vertical="center"/>
    </xf>
    <xf numFmtId="164" fontId="6" fillId="5" borderId="12" xfId="0" applyNumberFormat="1" applyFont="1" applyFill="1" applyBorder="1" applyAlignment="1">
      <alignment horizontal="center" wrapText="1"/>
    </xf>
    <xf numFmtId="164" fontId="6" fillId="5" borderId="7" xfId="0" applyNumberFormat="1" applyFont="1" applyFill="1" applyBorder="1" applyAlignment="1">
      <alignment horizontal="center" wrapText="1"/>
    </xf>
    <xf numFmtId="164" fontId="6" fillId="5" borderId="8" xfId="0" applyNumberFormat="1" applyFont="1" applyFill="1" applyBorder="1" applyAlignment="1">
      <alignment horizontal="center" wrapText="1"/>
    </xf>
    <xf numFmtId="164" fontId="1" fillId="2" borderId="13" xfId="0" applyNumberFormat="1" applyFont="1" applyFill="1" applyBorder="1"/>
    <xf numFmtId="164" fontId="1" fillId="5" borderId="13" xfId="0" applyNumberFormat="1" applyFont="1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0" borderId="2" xfId="0" applyBorder="1"/>
    <xf numFmtId="164" fontId="6" fillId="5" borderId="15" xfId="0" applyNumberFormat="1" applyFont="1" applyFill="1" applyBorder="1" applyAlignment="1">
      <alignment horizontal="center" wrapText="1"/>
    </xf>
    <xf numFmtId="164" fontId="1" fillId="2" borderId="3" xfId="0" applyNumberFormat="1" applyFont="1" applyFill="1" applyBorder="1"/>
    <xf numFmtId="164" fontId="7" fillId="6" borderId="16" xfId="0" applyNumberFormat="1" applyFont="1" applyFill="1" applyBorder="1" applyAlignment="1">
      <alignment horizontal="left" vertical="center" wrapText="1"/>
    </xf>
    <xf numFmtId="164" fontId="1" fillId="5" borderId="5" xfId="0" applyNumberFormat="1" applyFont="1" applyFill="1" applyBorder="1" applyAlignment="1">
      <alignment wrapText="1"/>
    </xf>
    <xf numFmtId="164" fontId="5" fillId="2" borderId="0" xfId="0" quotePrefix="1" applyNumberFormat="1" applyFont="1" applyFill="1" applyAlignment="1">
      <alignment horizontal="left" wrapText="1"/>
    </xf>
    <xf numFmtId="164" fontId="9" fillId="2" borderId="0" xfId="0" applyNumberFormat="1" applyFont="1" applyFill="1" applyAlignment="1">
      <alignment horizontal="left" wrapText="1"/>
    </xf>
    <xf numFmtId="49" fontId="9" fillId="2" borderId="0" xfId="0" quotePrefix="1" applyNumberFormat="1" applyFont="1" applyFill="1" applyAlignment="1">
      <alignment horizontal="left" wrapText="1"/>
    </xf>
    <xf numFmtId="0" fontId="0" fillId="0" borderId="17" xfId="0" applyBorder="1"/>
    <xf numFmtId="49" fontId="5" fillId="2" borderId="0" xfId="0" quotePrefix="1" applyNumberFormat="1" applyFont="1" applyFill="1" applyAlignment="1">
      <alignment horizontal="left" wrapText="1"/>
    </xf>
    <xf numFmtId="164" fontId="0" fillId="0" borderId="0" xfId="0" applyNumberFormat="1"/>
    <xf numFmtId="0" fontId="10" fillId="7" borderId="18" xfId="0" applyFont="1" applyFill="1" applyBorder="1" applyAlignment="1">
      <alignment horizontal="center" vertical="center"/>
    </xf>
    <xf numFmtId="0" fontId="2" fillId="0" borderId="18" xfId="0" applyFont="1" applyBorder="1"/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8" fillId="0" borderId="18" xfId="0" applyFont="1" applyBorder="1"/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3" borderId="3" xfId="0" applyFill="1" applyBorder="1"/>
    <xf numFmtId="164" fontId="6" fillId="5" borderId="5" xfId="0" applyNumberFormat="1" applyFont="1" applyFill="1" applyBorder="1" applyAlignment="1">
      <alignment horizontal="center" wrapText="1"/>
    </xf>
    <xf numFmtId="164" fontId="17" fillId="2" borderId="0" xfId="0" applyNumberFormat="1" applyFont="1" applyFill="1" applyAlignment="1">
      <alignment horizontal="left" wrapText="1"/>
    </xf>
    <xf numFmtId="164" fontId="17" fillId="2" borderId="0" xfId="0" quotePrefix="1" applyNumberFormat="1" applyFont="1" applyFill="1" applyAlignment="1">
      <alignment horizontal="left" wrapText="1"/>
    </xf>
    <xf numFmtId="164" fontId="5" fillId="2" borderId="0" xfId="0" applyNumberFormat="1" applyFont="1" applyFill="1" applyAlignment="1">
      <alignment horizontal="left" vertical="top" wrapText="1"/>
    </xf>
    <xf numFmtId="0" fontId="6" fillId="5" borderId="15" xfId="0" applyFont="1" applyFill="1" applyBorder="1" applyAlignment="1">
      <alignment horizontal="center" wrapText="1"/>
    </xf>
    <xf numFmtId="0" fontId="0" fillId="3" borderId="14" xfId="0" applyFill="1" applyBorder="1"/>
    <xf numFmtId="164" fontId="1" fillId="2" borderId="4" xfId="0" applyNumberFormat="1" applyFont="1" applyFill="1" applyBorder="1"/>
    <xf numFmtId="164" fontId="7" fillId="6" borderId="9" xfId="0" applyNumberFormat="1" applyFont="1" applyFill="1" applyBorder="1" applyAlignment="1">
      <alignment horizontal="left" vertical="center" wrapText="1"/>
    </xf>
    <xf numFmtId="164" fontId="7" fillId="6" borderId="11" xfId="0" applyNumberFormat="1" applyFont="1" applyFill="1" applyBorder="1" applyAlignment="1">
      <alignment horizontal="left" vertical="center" wrapText="1"/>
    </xf>
    <xf numFmtId="0" fontId="0" fillId="0" borderId="20" xfId="0" applyBorder="1"/>
    <xf numFmtId="3" fontId="12" fillId="0" borderId="21" xfId="2" applyNumberFormat="1" applyBorder="1"/>
    <xf numFmtId="0" fontId="12" fillId="0" borderId="21" xfId="2" applyBorder="1"/>
    <xf numFmtId="0" fontId="12" fillId="0" borderId="22" xfId="2" applyBorder="1"/>
    <xf numFmtId="0" fontId="0" fillId="0" borderId="23" xfId="0" applyBorder="1"/>
    <xf numFmtId="3" fontId="12" fillId="0" borderId="0" xfId="2" applyNumberFormat="1"/>
    <xf numFmtId="0" fontId="12" fillId="0" borderId="0" xfId="2" quotePrefix="1" applyAlignment="1">
      <alignment horizontal="left"/>
    </xf>
    <xf numFmtId="0" fontId="12" fillId="0" borderId="24" xfId="2" applyBorder="1"/>
    <xf numFmtId="0" fontId="12" fillId="0" borderId="0" xfId="2"/>
    <xf numFmtId="0" fontId="12" fillId="8" borderId="0" xfId="2" applyFill="1"/>
    <xf numFmtId="0" fontId="12" fillId="8" borderId="24" xfId="2" applyFill="1" applyBorder="1"/>
    <xf numFmtId="0" fontId="0" fillId="0" borderId="24" xfId="0" applyBorder="1"/>
    <xf numFmtId="3" fontId="0" fillId="0" borderId="0" xfId="0" applyNumberFormat="1"/>
    <xf numFmtId="3" fontId="0" fillId="0" borderId="23" xfId="0" applyNumberFormat="1" applyBorder="1"/>
    <xf numFmtId="0" fontId="12" fillId="0" borderId="0" xfId="2" applyAlignment="1">
      <alignment horizontal="left"/>
    </xf>
    <xf numFmtId="3" fontId="12" fillId="0" borderId="23" xfId="2" applyNumberFormat="1" applyBorder="1"/>
    <xf numFmtId="0" fontId="12" fillId="9" borderId="24" xfId="2" applyFill="1" applyBorder="1"/>
    <xf numFmtId="0" fontId="12" fillId="8" borderId="25" xfId="2" applyFill="1" applyBorder="1"/>
    <xf numFmtId="0" fontId="12" fillId="8" borderId="26" xfId="2" applyFill="1" applyBorder="1"/>
    <xf numFmtId="0" fontId="12" fillId="8" borderId="26" xfId="2" quotePrefix="1" applyFill="1" applyBorder="1"/>
    <xf numFmtId="0" fontId="12" fillId="8" borderId="27" xfId="2" applyFill="1" applyBorder="1"/>
    <xf numFmtId="0" fontId="0" fillId="11" borderId="0" xfId="0" applyFill="1" applyAlignment="1">
      <alignment wrapText="1"/>
    </xf>
    <xf numFmtId="0" fontId="0" fillId="10" borderId="0" xfId="0" applyFill="1" applyAlignment="1">
      <alignment wrapText="1"/>
    </xf>
    <xf numFmtId="0" fontId="0" fillId="3" borderId="28" xfId="0" applyFill="1" applyBorder="1"/>
    <xf numFmtId="0" fontId="0" fillId="5" borderId="5" xfId="0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left" vertical="center"/>
    </xf>
    <xf numFmtId="164" fontId="1" fillId="5" borderId="13" xfId="0" applyNumberFormat="1" applyFont="1" applyFill="1" applyBorder="1" applyAlignment="1">
      <alignment horizontal="left" wrapText="1"/>
    </xf>
    <xf numFmtId="9" fontId="0" fillId="0" borderId="0" xfId="14" applyFont="1" applyBorder="1"/>
    <xf numFmtId="164" fontId="22" fillId="2" borderId="0" xfId="0" applyNumberFormat="1" applyFont="1" applyFill="1" applyAlignment="1">
      <alignment horizontal="left" wrapText="1"/>
    </xf>
    <xf numFmtId="164" fontId="22" fillId="2" borderId="0" xfId="0" quotePrefix="1" applyNumberFormat="1" applyFont="1" applyFill="1" applyAlignment="1">
      <alignment horizontal="left" wrapText="1"/>
    </xf>
    <xf numFmtId="0" fontId="0" fillId="0" borderId="19" xfId="0" applyBorder="1"/>
    <xf numFmtId="164" fontId="17" fillId="2" borderId="0" xfId="0" applyNumberFormat="1" applyFont="1" applyFill="1" applyAlignment="1">
      <alignment horizontal="left" vertical="top" wrapText="1"/>
    </xf>
    <xf numFmtId="0" fontId="29" fillId="0" borderId="0" xfId="0" applyFont="1"/>
    <xf numFmtId="0" fontId="0" fillId="3" borderId="31" xfId="0" applyFill="1" applyBorder="1"/>
    <xf numFmtId="0" fontId="2" fillId="0" borderId="0" xfId="0" applyFont="1"/>
    <xf numFmtId="164" fontId="2" fillId="0" borderId="0" xfId="0" applyNumberFormat="1" applyFont="1"/>
    <xf numFmtId="9" fontId="2" fillId="0" borderId="0" xfId="14" applyFont="1" applyBorder="1"/>
    <xf numFmtId="17" fontId="0" fillId="0" borderId="0" xfId="0" applyNumberFormat="1"/>
    <xf numFmtId="0" fontId="0" fillId="3" borderId="32" xfId="0" applyFill="1" applyBorder="1"/>
    <xf numFmtId="164" fontId="6" fillId="13" borderId="5" xfId="0" applyNumberFormat="1" applyFont="1" applyFill="1" applyBorder="1" applyAlignment="1">
      <alignment horizontal="center" wrapText="1"/>
    </xf>
    <xf numFmtId="164" fontId="6" fillId="13" borderId="8" xfId="0" applyNumberFormat="1" applyFont="1" applyFill="1" applyBorder="1" applyAlignment="1">
      <alignment horizontal="center" wrapText="1"/>
    </xf>
    <xf numFmtId="9" fontId="0" fillId="3" borderId="14" xfId="14" applyFont="1" applyFill="1" applyBorder="1"/>
    <xf numFmtId="9" fontId="0" fillId="3" borderId="33" xfId="14" applyFont="1" applyFill="1" applyBorder="1"/>
    <xf numFmtId="9" fontId="0" fillId="0" borderId="0" xfId="0" applyNumberFormat="1"/>
    <xf numFmtId="0" fontId="31" fillId="0" borderId="0" xfId="0" applyFont="1"/>
    <xf numFmtId="168" fontId="0" fillId="0" borderId="0" xfId="0" applyNumberFormat="1"/>
    <xf numFmtId="9" fontId="0" fillId="3" borderId="34" xfId="14" applyFont="1" applyFill="1" applyBorder="1"/>
    <xf numFmtId="0" fontId="19" fillId="0" borderId="0" xfId="12"/>
    <xf numFmtId="0" fontId="34" fillId="0" borderId="0" xfId="12" applyFont="1" applyAlignment="1">
      <alignment horizontal="right"/>
    </xf>
    <xf numFmtId="0" fontId="35" fillId="0" borderId="0" xfId="12" applyFont="1"/>
    <xf numFmtId="0" fontId="0" fillId="12" borderId="0" xfId="0" applyFill="1"/>
    <xf numFmtId="17" fontId="0" fillId="12" borderId="0" xfId="0" applyNumberFormat="1" applyFill="1"/>
    <xf numFmtId="0" fontId="2" fillId="12" borderId="0" xfId="0" applyFont="1" applyFill="1"/>
    <xf numFmtId="164" fontId="0" fillId="12" borderId="0" xfId="0" applyNumberFormat="1" applyFill="1"/>
    <xf numFmtId="164" fontId="2" fillId="12" borderId="0" xfId="0" applyNumberFormat="1" applyFont="1" applyFill="1"/>
    <xf numFmtId="9" fontId="2" fillId="12" borderId="0" xfId="14" applyFont="1" applyFill="1" applyBorder="1"/>
    <xf numFmtId="164" fontId="7" fillId="6" borderId="30" xfId="0" applyNumberFormat="1" applyFont="1" applyFill="1" applyBorder="1" applyAlignment="1">
      <alignment horizontal="left" vertical="center" wrapText="1"/>
    </xf>
    <xf numFmtId="164" fontId="7" fillId="6" borderId="10" xfId="0" applyNumberFormat="1" applyFont="1" applyFill="1" applyBorder="1" applyAlignment="1">
      <alignment horizontal="center" vertical="center" wrapText="1"/>
    </xf>
    <xf numFmtId="164" fontId="7" fillId="6" borderId="30" xfId="0" applyNumberFormat="1" applyFont="1" applyFill="1" applyBorder="1" applyAlignment="1">
      <alignment horizontal="center" vertical="center" wrapText="1"/>
    </xf>
    <xf numFmtId="164" fontId="36" fillId="2" borderId="0" xfId="0" applyNumberFormat="1" applyFont="1" applyFill="1" applyAlignment="1">
      <alignment horizontal="left" wrapText="1"/>
    </xf>
    <xf numFmtId="164" fontId="36" fillId="2" borderId="0" xfId="0" quotePrefix="1" applyNumberFormat="1" applyFont="1" applyFill="1" applyAlignment="1">
      <alignment horizontal="left" wrapText="1"/>
    </xf>
    <xf numFmtId="0" fontId="0" fillId="0" borderId="0" xfId="0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/>
    <xf numFmtId="164" fontId="5" fillId="22" borderId="0" xfId="0" applyNumberFormat="1" applyFont="1" applyFill="1" applyAlignment="1">
      <alignment horizontal="left" wrapText="1"/>
    </xf>
    <xf numFmtId="164" fontId="5" fillId="22" borderId="0" xfId="0" quotePrefix="1" applyNumberFormat="1" applyFont="1" applyFill="1" applyAlignment="1">
      <alignment horizontal="left" wrapText="1"/>
    </xf>
    <xf numFmtId="0" fontId="0" fillId="22" borderId="3" xfId="0" applyFill="1" applyBorder="1"/>
    <xf numFmtId="164" fontId="6" fillId="22" borderId="5" xfId="0" applyNumberFormat="1" applyFont="1" applyFill="1" applyBorder="1" applyAlignment="1">
      <alignment horizontal="center" wrapText="1"/>
    </xf>
    <xf numFmtId="164" fontId="6" fillId="22" borderId="8" xfId="0" applyNumberFormat="1" applyFont="1" applyFill="1" applyBorder="1" applyAlignment="1">
      <alignment horizontal="center" wrapText="1"/>
    </xf>
    <xf numFmtId="0" fontId="50" fillId="0" borderId="18" xfId="0" applyFont="1" applyBorder="1"/>
    <xf numFmtId="0" fontId="50" fillId="0" borderId="18" xfId="0" applyFont="1" applyBorder="1" applyAlignment="1">
      <alignment horizontal="center"/>
    </xf>
    <xf numFmtId="0" fontId="51" fillId="2" borderId="18" xfId="0" applyFont="1" applyFill="1" applyBorder="1" applyAlignment="1">
      <alignment horizontal="center" vertical="center"/>
    </xf>
    <xf numFmtId="0" fontId="51" fillId="2" borderId="18" xfId="0" applyFont="1" applyFill="1" applyBorder="1" applyAlignment="1">
      <alignment horizontal="center" vertical="center" wrapText="1"/>
    </xf>
    <xf numFmtId="0" fontId="52" fillId="4" borderId="18" xfId="0" applyFont="1" applyFill="1" applyBorder="1" applyAlignment="1">
      <alignment wrapText="1"/>
    </xf>
    <xf numFmtId="0" fontId="52" fillId="4" borderId="18" xfId="0" applyFont="1" applyFill="1" applyBorder="1" applyAlignment="1">
      <alignment horizontal="center" wrapText="1"/>
    </xf>
    <xf numFmtId="0" fontId="52" fillId="4" borderId="18" xfId="0" quotePrefix="1" applyFont="1" applyFill="1" applyBorder="1" applyAlignment="1">
      <alignment horizontal="center" wrapText="1"/>
    </xf>
    <xf numFmtId="0" fontId="53" fillId="0" borderId="18" xfId="0" applyFont="1" applyBorder="1" applyAlignment="1">
      <alignment vertical="top" wrapText="1"/>
    </xf>
    <xf numFmtId="49" fontId="52" fillId="4" borderId="18" xfId="0" applyNumberFormat="1" applyFont="1" applyFill="1" applyBorder="1" applyAlignment="1">
      <alignment horizontal="center" wrapText="1"/>
    </xf>
    <xf numFmtId="0" fontId="52" fillId="3" borderId="18" xfId="0" applyFont="1" applyFill="1" applyBorder="1" applyAlignment="1">
      <alignment horizontal="center" vertical="center" wrapText="1"/>
    </xf>
    <xf numFmtId="0" fontId="55" fillId="0" borderId="18" xfId="0" applyFont="1" applyBorder="1" applyAlignment="1">
      <alignment vertical="center"/>
    </xf>
    <xf numFmtId="0" fontId="52" fillId="4" borderId="18" xfId="0" applyFont="1" applyFill="1" applyBorder="1" applyAlignment="1">
      <alignment vertical="top" wrapText="1"/>
    </xf>
    <xf numFmtId="0" fontId="56" fillId="3" borderId="18" xfId="0" applyFont="1" applyFill="1" applyBorder="1" applyAlignment="1">
      <alignment horizontal="center"/>
    </xf>
    <xf numFmtId="0" fontId="59" fillId="9" borderId="18" xfId="0" applyFont="1" applyFill="1" applyBorder="1" applyAlignment="1">
      <alignment horizontal="center" vertical="center" wrapText="1"/>
    </xf>
    <xf numFmtId="0" fontId="59" fillId="9" borderId="18" xfId="0" applyFont="1" applyFill="1" applyBorder="1" applyAlignment="1">
      <alignment horizontal="center" vertical="center"/>
    </xf>
    <xf numFmtId="0" fontId="4" fillId="9" borderId="0" xfId="0" applyFont="1" applyFill="1"/>
    <xf numFmtId="0" fontId="4" fillId="9" borderId="18" xfId="0" applyFont="1" applyFill="1" applyBorder="1" applyAlignment="1">
      <alignment horizontal="center" vertical="center" wrapText="1"/>
    </xf>
    <xf numFmtId="0" fontId="30" fillId="9" borderId="18" xfId="0" applyFont="1" applyFill="1" applyBorder="1" applyAlignment="1">
      <alignment horizontal="center" vertical="center" wrapText="1"/>
    </xf>
    <xf numFmtId="0" fontId="62" fillId="24" borderId="18" xfId="0" applyFont="1" applyFill="1" applyBorder="1" applyAlignment="1">
      <alignment horizontal="center" vertical="center" wrapText="1"/>
    </xf>
    <xf numFmtId="0" fontId="58" fillId="0" borderId="0" xfId="0" applyFont="1"/>
    <xf numFmtId="0" fontId="64" fillId="0" borderId="18" xfId="0" applyFont="1" applyBorder="1" applyAlignment="1">
      <alignment horizontal="center" vertical="center" wrapText="1"/>
    </xf>
    <xf numFmtId="0" fontId="62" fillId="9" borderId="18" xfId="0" applyFont="1" applyFill="1" applyBorder="1" applyAlignment="1">
      <alignment horizontal="center" vertical="center" wrapText="1"/>
    </xf>
    <xf numFmtId="0" fontId="62" fillId="25" borderId="18" xfId="0" applyFont="1" applyFill="1" applyBorder="1" applyAlignment="1">
      <alignment horizontal="center" vertical="center" wrapText="1"/>
    </xf>
    <xf numFmtId="0" fontId="62" fillId="25" borderId="18" xfId="0" applyFont="1" applyFill="1" applyBorder="1" applyAlignment="1">
      <alignment horizontal="center" vertical="center"/>
    </xf>
    <xf numFmtId="0" fontId="63" fillId="9" borderId="18" xfId="0" applyFont="1" applyFill="1" applyBorder="1" applyAlignment="1">
      <alignment horizontal="center" vertical="center"/>
    </xf>
    <xf numFmtId="0" fontId="62" fillId="9" borderId="18" xfId="85" applyFont="1" applyFill="1" applyBorder="1" applyAlignment="1">
      <alignment horizontal="center" vertical="center" wrapText="1"/>
    </xf>
    <xf numFmtId="0" fontId="63" fillId="9" borderId="18" xfId="0" applyFont="1" applyFill="1" applyBorder="1" applyAlignment="1">
      <alignment horizontal="center" vertical="center" wrapText="1"/>
    </xf>
    <xf numFmtId="0" fontId="65" fillId="9" borderId="18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vertical="center"/>
    </xf>
    <xf numFmtId="0" fontId="66" fillId="0" borderId="0" xfId="0" applyFont="1"/>
    <xf numFmtId="0" fontId="67" fillId="0" borderId="0" xfId="0" applyFont="1"/>
    <xf numFmtId="0" fontId="56" fillId="3" borderId="18" xfId="0" applyFont="1" applyFill="1" applyBorder="1" applyAlignment="1">
      <alignment horizontal="center"/>
    </xf>
    <xf numFmtId="0" fontId="52" fillId="3" borderId="18" xfId="0" applyFont="1" applyFill="1" applyBorder="1" applyAlignment="1">
      <alignment horizontal="center" vertical="center" wrapText="1"/>
    </xf>
    <xf numFmtId="0" fontId="64" fillId="0" borderId="18" xfId="0" applyFont="1" applyBorder="1" applyAlignment="1">
      <alignment horizontal="center" vertical="center" wrapText="1"/>
    </xf>
    <xf numFmtId="0" fontId="64" fillId="0" borderId="18" xfId="0" applyFont="1" applyBorder="1" applyAlignment="1">
      <alignment horizontal="center" vertical="center"/>
    </xf>
    <xf numFmtId="0" fontId="62" fillId="25" borderId="37" xfId="0" applyFont="1" applyFill="1" applyBorder="1" applyAlignment="1">
      <alignment horizontal="center" vertical="center"/>
    </xf>
    <xf numFmtId="0" fontId="62" fillId="25" borderId="19" xfId="0" applyFont="1" applyFill="1" applyBorder="1" applyAlignment="1">
      <alignment horizontal="center" vertical="center"/>
    </xf>
    <xf numFmtId="0" fontId="62" fillId="25" borderId="36" xfId="0" applyFont="1" applyFill="1" applyBorder="1" applyAlignment="1">
      <alignment horizontal="center" vertical="center"/>
    </xf>
    <xf numFmtId="0" fontId="63" fillId="9" borderId="37" xfId="0" applyFont="1" applyFill="1" applyBorder="1" applyAlignment="1">
      <alignment horizontal="center" vertical="center"/>
    </xf>
    <xf numFmtId="0" fontId="63" fillId="9" borderId="19" xfId="0" applyFont="1" applyFill="1" applyBorder="1" applyAlignment="1">
      <alignment horizontal="center" vertical="center"/>
    </xf>
    <xf numFmtId="0" fontId="63" fillId="9" borderId="36" xfId="0" applyFont="1" applyFill="1" applyBorder="1" applyAlignment="1">
      <alignment horizontal="center" vertical="center"/>
    </xf>
    <xf numFmtId="0" fontId="62" fillId="25" borderId="37" xfId="0" applyFont="1" applyFill="1" applyBorder="1" applyAlignment="1">
      <alignment horizontal="center" vertical="center" wrapText="1"/>
    </xf>
    <xf numFmtId="0" fontId="62" fillId="25" borderId="19" xfId="0" applyFont="1" applyFill="1" applyBorder="1" applyAlignment="1">
      <alignment horizontal="center" vertical="center" wrapText="1"/>
    </xf>
    <xf numFmtId="0" fontId="62" fillId="25" borderId="36" xfId="0" applyFont="1" applyFill="1" applyBorder="1" applyAlignment="1">
      <alignment horizontal="center" vertical="center" wrapText="1"/>
    </xf>
    <xf numFmtId="0" fontId="63" fillId="9" borderId="18" xfId="0" applyFont="1" applyFill="1" applyBorder="1" applyAlignment="1">
      <alignment horizontal="center" vertical="center"/>
    </xf>
    <xf numFmtId="0" fontId="63" fillId="9" borderId="18" xfId="0" applyFont="1" applyFill="1" applyBorder="1" applyAlignment="1">
      <alignment horizontal="center" vertical="center" wrapText="1"/>
    </xf>
    <xf numFmtId="0" fontId="62" fillId="9" borderId="18" xfId="85" applyFont="1" applyFill="1" applyBorder="1" applyAlignment="1">
      <alignment horizontal="center" vertical="center" wrapText="1"/>
    </xf>
    <xf numFmtId="0" fontId="64" fillId="0" borderId="18" xfId="0" applyFont="1" applyFill="1" applyBorder="1" applyAlignment="1">
      <alignment horizontal="center" vertical="center" wrapText="1"/>
    </xf>
    <xf numFmtId="164" fontId="7" fillId="6" borderId="9" xfId="0" applyNumberFormat="1" applyFont="1" applyFill="1" applyBorder="1" applyAlignment="1">
      <alignment horizontal="left" vertical="center" wrapText="1"/>
    </xf>
    <xf numFmtId="164" fontId="7" fillId="6" borderId="10" xfId="0" applyNumberFormat="1" applyFont="1" applyFill="1" applyBorder="1" applyAlignment="1">
      <alignment horizontal="left" vertical="center" wrapText="1"/>
    </xf>
    <xf numFmtId="164" fontId="7" fillId="6" borderId="11" xfId="0" applyNumberFormat="1" applyFont="1" applyFill="1" applyBorder="1" applyAlignment="1">
      <alignment horizontal="left" vertical="center" wrapText="1"/>
    </xf>
    <xf numFmtId="164" fontId="7" fillId="6" borderId="9" xfId="0" applyNumberFormat="1" applyFont="1" applyFill="1" applyBorder="1" applyAlignment="1">
      <alignment horizontal="center" vertical="center" wrapText="1"/>
    </xf>
    <xf numFmtId="164" fontId="7" fillId="6" borderId="11" xfId="0" applyNumberFormat="1" applyFont="1" applyFill="1" applyBorder="1" applyAlignment="1">
      <alignment horizontal="center" vertical="center" wrapText="1"/>
    </xf>
    <xf numFmtId="164" fontId="7" fillId="6" borderId="10" xfId="0" applyNumberFormat="1" applyFont="1" applyFill="1" applyBorder="1" applyAlignment="1">
      <alignment horizontal="center" vertical="center" wrapText="1"/>
    </xf>
    <xf numFmtId="164" fontId="7" fillId="6" borderId="16" xfId="0" applyNumberFormat="1" applyFont="1" applyFill="1" applyBorder="1" applyAlignment="1">
      <alignment horizontal="left" vertical="center" wrapText="1"/>
    </xf>
    <xf numFmtId="164" fontId="7" fillId="6" borderId="30" xfId="0" applyNumberFormat="1" applyFont="1" applyFill="1" applyBorder="1" applyAlignment="1">
      <alignment horizontal="left" vertical="center" wrapText="1"/>
    </xf>
    <xf numFmtId="164" fontId="7" fillId="6" borderId="29" xfId="0" applyNumberFormat="1" applyFont="1" applyFill="1" applyBorder="1" applyAlignment="1">
      <alignment horizontal="left" vertical="center" wrapText="1"/>
    </xf>
  </cellXfs>
  <cellStyles count="86">
    <cellStyle name="Accent" xfId="37" xr:uid="{D209E26B-F25C-4CFB-94F2-9815AB8D258B}"/>
    <cellStyle name="Accent 1" xfId="38" xr:uid="{A832FEAA-F997-4110-AFEE-C47A8ED06EA8}"/>
    <cellStyle name="Accent 2" xfId="39" xr:uid="{68FC1A72-A64F-4503-B1CB-12E7D0BBB0CD}"/>
    <cellStyle name="Accent 3" xfId="40" xr:uid="{5CEB5B08-1202-49AB-95E6-3E944AEE555A}"/>
    <cellStyle name="Bad 2" xfId="41" xr:uid="{242DFFB3-072C-48A1-98A0-4ECB7E9BBF1B}"/>
    <cellStyle name="Collegamento ipertestuale 2" xfId="7" xr:uid="{00000000-0005-0000-0000-000000000000}"/>
    <cellStyle name="Collegamento ipertestuale 2 2" xfId="21" xr:uid="{00000000-0005-0000-0000-000000000000}"/>
    <cellStyle name="Collegamento ipertestuale 2 2 2" xfId="43" xr:uid="{B24D6E75-54B0-49DE-B9F2-BC6390C6492F}"/>
    <cellStyle name="Collegamento ipertestuale 2 3" xfId="42" xr:uid="{FD91A182-6F14-4687-B327-6FFCA61441BE}"/>
    <cellStyle name="ConditionalStyle_10" xfId="44" xr:uid="{D8A005FB-C213-4536-87AA-8475498E7388}"/>
    <cellStyle name="Error" xfId="45" xr:uid="{AA0621A1-8813-4DDA-93D9-D24D9D554081}"/>
    <cellStyle name="Euro" xfId="8" xr:uid="{00000000-0005-0000-0000-000001000000}"/>
    <cellStyle name="Euro 2" xfId="22" xr:uid="{00000000-0005-0000-0000-000001000000}"/>
    <cellStyle name="Euro 2 2" xfId="47" xr:uid="{908768FB-803B-49DF-88A8-A8FDE5DB2D8A}"/>
    <cellStyle name="Euro 3" xfId="46" xr:uid="{9EC2523D-4FA2-4293-A519-21EF19EEBBF1}"/>
    <cellStyle name="Excel Built-in Hyperlink" xfId="3" xr:uid="{00000000-0005-0000-0000-000002000000}"/>
    <cellStyle name="Excel Built-in Percent" xfId="48" xr:uid="{196AF7B4-AF86-497A-A1A9-C21C1335FD60}"/>
    <cellStyle name="Footnote" xfId="49" xr:uid="{8B52E3C8-E5A2-44B1-A563-0CC6DFC9E627}"/>
    <cellStyle name="Good 2" xfId="50" xr:uid="{05F9598D-A52C-4CF2-945C-7692B3F358B7}"/>
    <cellStyle name="Heading" xfId="51" xr:uid="{B0BC67FC-32CF-4A6A-90CD-DCAF3959D219}"/>
    <cellStyle name="Heading 1 2" xfId="52" xr:uid="{8051381B-19F2-4A5F-8EE2-381ACC4ACAD3}"/>
    <cellStyle name="Heading 2 2" xfId="53" xr:uid="{FFB2FBF3-2346-42D7-91D5-B3F0094E64C5}"/>
    <cellStyle name="Hyperlink 2" xfId="1" xr:uid="{00000000-0005-0000-0000-000003000000}"/>
    <cellStyle name="Hyperlink 2 2" xfId="26" xr:uid="{00000000-0005-0000-0000-000002000000}"/>
    <cellStyle name="Hyperlink 2 2 2" xfId="56" xr:uid="{8300470B-FC24-43C7-A246-787D8D7D8ACF}"/>
    <cellStyle name="Hyperlink 2 3" xfId="55" xr:uid="{432AC406-B159-4A01-99FA-25A759E607F3}"/>
    <cellStyle name="Hyperlink 3" xfId="54" xr:uid="{FD9D8EFF-FDCC-469F-A277-B9FBFDE4BDB7}"/>
    <cellStyle name="Incorrecto" xfId="85" builtinId="27"/>
    <cellStyle name="Neutral 2" xfId="36" xr:uid="{53B6E0D3-E94D-44C4-946E-C9C3AFFC3071}"/>
    <cellStyle name="Normal" xfId="0" builtinId="0"/>
    <cellStyle name="Normal 2" xfId="2" xr:uid="{00000000-0005-0000-0000-000004000000}"/>
    <cellStyle name="Normal 2 2" xfId="23" xr:uid="{00000000-0005-0000-0000-000004000000}"/>
    <cellStyle name="Normal 2 2 2" xfId="58" xr:uid="{1BF9E1A7-E6D5-4E59-8EEC-44CC65032D5C}"/>
    <cellStyle name="Normal 2 3" xfId="57" xr:uid="{D0A5F037-D36B-410D-9441-F9773289B2D4}"/>
    <cellStyle name="Normal 3" xfId="11" xr:uid="{412162C2-05EF-4C7C-94A4-9DDF33B8C23F}"/>
    <cellStyle name="Normal 3 2" xfId="19" xr:uid="{00000000-0005-0000-0000-000005000000}"/>
    <cellStyle name="Normal 3 2 2" xfId="60" xr:uid="{A8AD0D06-6E69-4210-AD4F-CC0EECD5B0B6}"/>
    <cellStyle name="Normal 3 3" xfId="59" xr:uid="{B1D68D92-D1D5-4DD8-BC87-BC07F57750E2}"/>
    <cellStyle name="Normal 4" xfId="35" xr:uid="{B332F76B-59E9-4D5B-8900-B92FC5617BB7}"/>
    <cellStyle name="Normale 2" xfId="6" xr:uid="{00000000-0005-0000-0000-000005000000}"/>
    <cellStyle name="Normale 2 2" xfId="18" xr:uid="{00000000-0005-0000-0000-000006000000}"/>
    <cellStyle name="Normale 2 2 2" xfId="62" xr:uid="{3E357886-9C21-4490-AD0E-8FD8FAC5E70C}"/>
    <cellStyle name="Normale 2 3" xfId="61" xr:uid="{5B7CC8FE-6E44-43A5-8C8C-485D018BD602}"/>
    <cellStyle name="Normale 3" xfId="9" xr:uid="{00000000-0005-0000-0000-000006000000}"/>
    <cellStyle name="Normale 3 2" xfId="20" xr:uid="{00000000-0005-0000-0000-000007000000}"/>
    <cellStyle name="Normale 3 2 2" xfId="64" xr:uid="{B793307A-DFA9-4860-B8C3-6B97A5CA8A78}"/>
    <cellStyle name="Normale 3 3" xfId="63" xr:uid="{543A4A3A-6139-423B-BA27-421FFB6E2D67}"/>
    <cellStyle name="Normalny 3 2" xfId="5" xr:uid="{00000000-0005-0000-0000-000007000000}"/>
    <cellStyle name="Normalny 3 2 2" xfId="25" xr:uid="{00000000-0005-0000-0000-000008000000}"/>
    <cellStyle name="Normalny 3 2 2 2" xfId="66" xr:uid="{015B6F1C-06B2-41AC-9FD5-BCD25844103B}"/>
    <cellStyle name="Normalny 3 2 3" xfId="65" xr:uid="{DD0266B9-5CEA-4D46-A7A9-3C363ED404BB}"/>
    <cellStyle name="Normalny 4" xfId="4" xr:uid="{00000000-0005-0000-0000-000008000000}"/>
    <cellStyle name="Normalny 4 2" xfId="24" xr:uid="{00000000-0005-0000-0000-000009000000}"/>
    <cellStyle name="Normalny 4 2 2" xfId="68" xr:uid="{DB027263-326D-484E-BBD7-A224C8339ADF}"/>
    <cellStyle name="Normalny 4 3" xfId="67" xr:uid="{0F1230BF-C25F-4455-BB45-FE8732BBA099}"/>
    <cellStyle name="Note 2" xfId="69" xr:uid="{6CF01E21-09DB-4B7D-A465-2FEB67EDE695}"/>
    <cellStyle name="Porcentaje" xfId="14" builtinId="5"/>
    <cellStyle name="Prozent 2" xfId="17" xr:uid="{00000000-0005-0000-0000-000049000000}"/>
    <cellStyle name="Prozent 2 2" xfId="70" xr:uid="{0DD5D9C6-3DF5-428A-B512-E3F75D38D6F4}"/>
    <cellStyle name="Result" xfId="71" xr:uid="{EDC5B9CA-41BE-4A3D-9FB2-D6837ADC869D}"/>
    <cellStyle name="Standard 2" xfId="10" xr:uid="{05BFCC69-5186-4E7E-8634-26F6B63C7A7B}"/>
    <cellStyle name="Standard 2 2" xfId="28" xr:uid="{00000000-0005-0000-0000-00000B000000}"/>
    <cellStyle name="Standard 2 2 2" xfId="72" xr:uid="{315F8B09-A4B0-4B10-86BF-8E4A9DB59056}"/>
    <cellStyle name="Standard 3" xfId="12" xr:uid="{00000000-0005-0000-0000-00003C000000}"/>
    <cellStyle name="Standard 3 2" xfId="29" xr:uid="{00000000-0005-0000-0000-00000C000000}"/>
    <cellStyle name="Standard 3 2 2" xfId="74" xr:uid="{507411CA-60C1-4228-BD45-AA6C0BF37B52}"/>
    <cellStyle name="Standard 3 3" xfId="73" xr:uid="{DF4AFA61-F631-46EC-A80E-6B1F30AF0195}"/>
    <cellStyle name="Standard 4" xfId="13" xr:uid="{00000000-0005-0000-0000-00003D000000}"/>
    <cellStyle name="Standard 4 2" xfId="16" xr:uid="{00000000-0005-0000-0000-00003D000000}"/>
    <cellStyle name="Standard 4 2 2" xfId="33" xr:uid="{00000000-0005-0000-0000-00001E000000}"/>
    <cellStyle name="Standard 4 2 2 2" xfId="75" xr:uid="{940FC1B6-20EA-43EE-BFCE-0084F575EBA1}"/>
    <cellStyle name="Standard 4 3" xfId="30" xr:uid="{00000000-0005-0000-0000-00000D000000}"/>
    <cellStyle name="Standard 4 3 2" xfId="76" xr:uid="{7C0EFE28-A40C-40B9-9BDE-05317EAE557A}"/>
    <cellStyle name="Standard 5" xfId="15" xr:uid="{1B78F360-DB8C-4540-B716-4915222EF22C}"/>
    <cellStyle name="Standard 5 2" xfId="31" xr:uid="{00000000-0005-0000-0000-00000E000000}"/>
    <cellStyle name="Standard 5 2 2" xfId="78" xr:uid="{33CC4BD5-A3E8-4135-B691-2364320FE20F}"/>
    <cellStyle name="Standard 5 3" xfId="77" xr:uid="{EE797E86-F9F7-4D91-B690-3897C1992B00}"/>
    <cellStyle name="Standard 6" xfId="27" xr:uid="{00000000-0005-0000-0000-00004A000000}"/>
    <cellStyle name="Standard 6 2" xfId="79" xr:uid="{37877C2C-491D-4E3B-9069-A472DFE0B2CF}"/>
    <cellStyle name="Standard 7" xfId="32" xr:uid="{00000000-0005-0000-0000-00004F000000}"/>
    <cellStyle name="Standard 7 2" xfId="34" xr:uid="{00000000-0005-0000-0000-000023000000}"/>
    <cellStyle name="Standard 7 2 2" xfId="81" xr:uid="{14076801-0F9C-4057-9F2A-3EA33EF907DA}"/>
    <cellStyle name="Standard 7 3" xfId="80" xr:uid="{7B700FB9-50E9-4A31-8185-0C2E2A4671C3}"/>
    <cellStyle name="Status" xfId="82" xr:uid="{2CE338D3-6ADF-49C2-8720-7B55B6030CA2}"/>
    <cellStyle name="Text" xfId="83" xr:uid="{DF21F50B-8963-47D6-8E6A-715B5AA34887}"/>
    <cellStyle name="Warning" xfId="84" xr:uid="{3546B729-533F-4007-8E53-AADD4F3BE479}"/>
  </cellStyles>
  <dxfs count="298">
    <dxf>
      <font>
        <color auto="1"/>
      </font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b/>
        <i val="0"/>
        <color auto="1"/>
      </font>
      <fill>
        <patternFill patternType="solid">
          <bgColor theme="4" tint="0.79998168889431442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8" tint="-0.499984740745262"/>
        <name val="Calibri"/>
        <scheme val="minor"/>
      </font>
      <numFmt numFmtId="164" formatCode="0;\-0;;@"/>
      <fill>
        <patternFill patternType="solid">
          <fgColor indexed="64"/>
          <bgColor theme="8" tint="0.59999389629810485"/>
        </patternFill>
      </fill>
      <alignment horizontal="left" vertical="center" textRotation="0" wrapText="1" indent="0" justifyLastLine="0" shrinkToFit="0" readingOrder="0"/>
    </dxf>
    <dxf>
      <border outline="0">
        <left style="thick">
          <color rgb="FF00B0F0"/>
        </left>
        <right style="thick">
          <color rgb="FF00B0F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theme="4" tint="0.79998168889431442"/>
        </patternFill>
      </fill>
    </dxf>
    <dxf>
      <numFmt numFmtId="0" formatCode="General"/>
      <border>
        <right style="thick">
          <color rgb="FF00B0F0"/>
        </right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theme="4" tint="0.79998168889431442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8" tint="-0.499984740745262"/>
        <name val="Calibri"/>
        <scheme val="minor"/>
      </font>
      <numFmt numFmtId="164" formatCode="0;\-0;;@"/>
      <fill>
        <patternFill patternType="solid">
          <fgColor indexed="64"/>
          <bgColor theme="8" tint="0.59999389629810485"/>
        </patternFill>
      </fill>
      <alignment horizontal="left" vertical="center" textRotation="0" wrapText="1" indent="0" justifyLastLine="0" shrinkToFit="0" readingOrder="0"/>
    </dxf>
    <dxf>
      <border outline="0">
        <left style="thick">
          <color rgb="FF00B0F0"/>
        </left>
        <right style="thick">
          <color rgb="FF00B0F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font>
        <sz val="9"/>
        <color theme="0"/>
      </font>
      <numFmt numFmtId="164" formatCode="0;\-0;;@"/>
      <fill>
        <patternFill patternType="solid">
          <fgColor indexed="64"/>
          <bgColor theme="4"/>
        </patternFill>
      </fill>
      <alignment horizontal="left" vertical="bottom" textRotation="0" wrapText="1" indent="0" justifyLastLine="0" shrinkToFit="0" readingOrder="0"/>
    </dxf>
    <dxf>
      <font>
        <sz val="9"/>
        <color theme="0"/>
      </font>
      <numFmt numFmtId="164" formatCode="0;\-0;;@"/>
      <fill>
        <patternFill patternType="solid">
          <fgColor indexed="64"/>
          <bgColor theme="4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8" tint="-0.499984740745262"/>
        <name val="Calibri"/>
        <scheme val="minor"/>
      </font>
      <numFmt numFmtId="164" formatCode="0;\-0;;@"/>
      <fill>
        <patternFill patternType="solid">
          <fgColor indexed="64"/>
          <bgColor theme="8" tint="0.59999389629810485"/>
        </patternFill>
      </fill>
      <alignment horizontal="left" vertical="center" textRotation="0" wrapText="1" indent="0" justifyLastLine="0" shrinkToFit="0" readingOrder="0"/>
      <border diagonalUp="0" diagonalDown="0">
        <left/>
        <right style="thick">
          <color theme="0"/>
        </right>
        <top style="thick">
          <color theme="0"/>
        </top>
        <bottom/>
        <vertical/>
        <horizontal/>
      </border>
    </dxf>
    <dxf>
      <border outline="0">
        <left style="thick">
          <color rgb="FF00B0F0"/>
        </left>
        <right style="thick">
          <color rgb="FF00B0F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font>
        <sz val="9"/>
        <color theme="0"/>
      </font>
      <numFmt numFmtId="164" formatCode="0;\-0;;@"/>
      <fill>
        <patternFill patternType="solid">
          <fgColor indexed="64"/>
          <bgColor theme="4"/>
        </patternFill>
      </fill>
      <alignment horizontal="left" vertical="bottom" textRotation="0" wrapText="1" indent="0" justifyLastLine="0" shrinkToFit="0" readingOrder="0"/>
    </dxf>
    <dxf>
      <font>
        <sz val="9"/>
        <color theme="0"/>
      </font>
      <numFmt numFmtId="164" formatCode="0;\-0;;@"/>
      <fill>
        <patternFill patternType="solid">
          <fgColor indexed="64"/>
          <bgColor theme="4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8" tint="-0.499984740745262"/>
        <name val="Calibri"/>
        <scheme val="minor"/>
      </font>
      <numFmt numFmtId="164" formatCode="0;\-0;;@"/>
      <fill>
        <patternFill patternType="solid">
          <fgColor indexed="64"/>
          <bgColor theme="8" tint="0.59999389629810485"/>
        </patternFill>
      </fill>
      <alignment horizontal="left" vertical="center" textRotation="0" wrapText="1" indent="0" justifyLastLine="0" shrinkToFit="0" readingOrder="0"/>
      <border diagonalUp="0" diagonalDown="0">
        <left/>
        <right style="thick">
          <color theme="0"/>
        </right>
        <top style="thick">
          <color theme="0"/>
        </top>
        <bottom/>
        <vertical/>
        <horizontal/>
      </border>
    </dxf>
    <dxf>
      <border outline="0">
        <left style="thick">
          <color rgb="FF00B0F0"/>
        </left>
        <right style="thick">
          <color rgb="FF00B0F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8" tint="-0.499984740745262"/>
        <name val="Calibri"/>
        <scheme val="minor"/>
      </font>
      <numFmt numFmtId="164" formatCode="0;\-0;;@"/>
      <fill>
        <patternFill patternType="solid">
          <fgColor indexed="64"/>
          <bgColor theme="8" tint="0.59999389629810485"/>
        </patternFill>
      </fill>
      <alignment horizontal="left" vertical="center" textRotation="0" wrapText="1" indent="0" justifyLastLine="0" shrinkToFit="0" readingOrder="0"/>
    </dxf>
    <dxf>
      <border outline="0">
        <left style="thick">
          <color rgb="FF00B0F0"/>
        </left>
        <right style="thick">
          <color rgb="FF00B0F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</dxf>
    <dxf>
      <numFmt numFmtId="0" formatCode="General"/>
      <fill>
        <patternFill patternType="solid">
          <fgColor indexed="64"/>
          <bgColor theme="4" tint="0.79998168889431442"/>
        </patternFill>
      </fill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8" tint="-0.499984740745262"/>
        <name val="Calibri"/>
        <scheme val="minor"/>
      </font>
      <numFmt numFmtId="164" formatCode="0;\-0;;@"/>
      <fill>
        <patternFill patternType="solid">
          <fgColor indexed="64"/>
          <bgColor theme="8" tint="0.59999389629810485"/>
        </patternFill>
      </fill>
      <alignment horizontal="left" vertical="center" textRotation="0" wrapText="1" indent="0" justifyLastLine="0" shrinkToFit="0" readingOrder="0"/>
    </dxf>
    <dxf>
      <border outline="0">
        <left style="thick">
          <color rgb="FF00B0F0"/>
        </left>
        <right style="thick">
          <color rgb="FF00B0F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8" tint="-0.499984740745262"/>
        <name val="Calibri"/>
        <scheme val="minor"/>
      </font>
      <numFmt numFmtId="164" formatCode="0;\-0;;@"/>
      <fill>
        <patternFill patternType="solid">
          <fgColor indexed="64"/>
          <bgColor theme="8" tint="0.59999389629810485"/>
        </patternFill>
      </fill>
      <alignment horizontal="left" vertical="center" textRotation="0" wrapText="1" indent="0" justifyLastLine="0" shrinkToFit="0" readingOrder="0"/>
    </dxf>
    <dxf>
      <border outline="0">
        <left style="thick">
          <color rgb="FF00B0F0"/>
        </left>
        <right style="thick">
          <color rgb="FF00B0F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</dxf>
    <dxf>
      <numFmt numFmtId="0" formatCode="General"/>
      <fill>
        <patternFill patternType="solid">
          <fgColor indexed="64"/>
          <bgColor theme="4" tint="0.79998168889431442"/>
        </patternFill>
      </fill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thick">
          <color rgb="FF00B0F0"/>
        </left>
        <right/>
        <top style="thick">
          <color rgb="FF00B0F0"/>
        </top>
        <bottom/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8" tint="-0.499984740745262"/>
        <name val="Calibri"/>
        <scheme val="minor"/>
      </font>
      <numFmt numFmtId="164" formatCode="0;\-0;;@"/>
      <fill>
        <patternFill patternType="solid">
          <fgColor indexed="64"/>
          <bgColor theme="8" tint="0.59999389629810485"/>
        </patternFill>
      </fill>
      <alignment horizontal="left" vertical="center" textRotation="0" wrapText="1" indent="0" justifyLastLine="0" shrinkToFit="0" readingOrder="0"/>
    </dxf>
    <dxf>
      <border outline="0">
        <left style="thick">
          <color rgb="FF00B0F0"/>
        </left>
        <right style="thick">
          <color rgb="FF00B0F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0;\-0;;@"/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</dxf>
  </dxfs>
  <tableStyles count="4" defaultTableStyle="TableStyleMedium2" defaultPivotStyle="PivotStyleLight16">
    <tableStyle name="Table Style 1" pivot="0" count="0" xr9:uid="{00000000-0011-0000-FFFF-FFFF00000000}"/>
    <tableStyle name="Table Style 2" pivot="0" count="0" xr9:uid="{00000000-0011-0000-FFFF-FFFF01000000}"/>
    <tableStyle name="Table Style 3" pivot="0" count="0" xr9:uid="{00000000-0011-0000-FFFF-FFFF02000000}"/>
    <tableStyle name="Table Style 4" pivot="0" count="0" xr9:uid="{00000000-0011-0000-FFFF-FFFF03000000}"/>
  </tableStyles>
  <colors>
    <mruColors>
      <color rgb="FF56B148"/>
      <color rgb="FF31639B"/>
      <color rgb="FF4A5B72"/>
      <color rgb="FFF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GRÁFICO DE PRODUCTOS POR CATEGORÍA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'Listado de productos_2025'!$G$3:$M$3</c:f>
              <c:strCache>
                <c:ptCount val="7"/>
                <c:pt idx="0">
                  <c:v>PINTURAS Y BARNICES</c:v>
                </c:pt>
                <c:pt idx="1">
                  <c:v>LIMPIEZA SUPERFICIES DURAS</c:v>
                </c:pt>
                <c:pt idx="2">
                  <c:v>LAVAVAJILLAS</c:v>
                </c:pt>
                <c:pt idx="3">
                  <c:v>DETERGENTE LAVANDERÍA</c:v>
                </c:pt>
                <c:pt idx="4">
                  <c:v>DETERGENTE LAVANDERÍA INDUSTRIAL</c:v>
                </c:pt>
                <c:pt idx="5">
                  <c:v>COSMÉTICOS</c:v>
                </c:pt>
                <c:pt idx="6">
                  <c:v>PAPEL</c:v>
                </c:pt>
              </c:strCache>
            </c:strRef>
          </c:cat>
          <c:val>
            <c:numRef>
              <c:f>'Listado de productos_2025'!$G$4:$M$4</c:f>
              <c:numCache>
                <c:formatCode>General</c:formatCode>
                <c:ptCount val="7"/>
                <c:pt idx="0">
                  <c:v>8</c:v>
                </c:pt>
                <c:pt idx="1">
                  <c:v>25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E-4F43-848B-9DC4CFB49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05255999"/>
        <c:axId val="96557215"/>
      </c:barChart>
      <c:catAx>
        <c:axId val="1052559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557215"/>
        <c:crosses val="autoZero"/>
        <c:auto val="1"/>
        <c:lblAlgn val="ctr"/>
        <c:lblOffset val="100"/>
        <c:noMultiLvlLbl val="0"/>
      </c:catAx>
      <c:valAx>
        <c:axId val="965572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255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GRÁFICO DE LICENCIAS POR PROVINCIA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'Listado de productos_2025'!$G$18:$K$18</c:f>
              <c:strCache>
                <c:ptCount val="5"/>
                <c:pt idx="0">
                  <c:v>Albacete</c:v>
                </c:pt>
                <c:pt idx="1">
                  <c:v>Cuenca</c:v>
                </c:pt>
                <c:pt idx="2">
                  <c:v>Ciudad Real</c:v>
                </c:pt>
                <c:pt idx="3">
                  <c:v>Toledo</c:v>
                </c:pt>
                <c:pt idx="4">
                  <c:v>Guadalajara</c:v>
                </c:pt>
              </c:strCache>
            </c:strRef>
          </c:cat>
          <c:val>
            <c:numRef>
              <c:f>'Listado de productos_2025'!$G$19:$K$19</c:f>
              <c:numCache>
                <c:formatCode>General</c:formatCode>
                <c:ptCount val="5"/>
                <c:pt idx="0">
                  <c:v>9</c:v>
                </c:pt>
                <c:pt idx="1">
                  <c:v>0</c:v>
                </c:pt>
                <c:pt idx="2">
                  <c:v>4</c:v>
                </c:pt>
                <c:pt idx="3">
                  <c:v>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A-4E97-9AFA-BBDF89529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11612319"/>
        <c:axId val="235582703"/>
      </c:barChart>
      <c:catAx>
        <c:axId val="1116123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5582703"/>
        <c:crosses val="autoZero"/>
        <c:auto val="1"/>
        <c:lblAlgn val="ctr"/>
        <c:lblOffset val="100"/>
        <c:noMultiLvlLbl val="0"/>
      </c:catAx>
      <c:valAx>
        <c:axId val="2355827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1612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596691091105213E-2"/>
          <c:y val="9.617528847400493E-2"/>
          <c:w val="0.9409792700884394"/>
          <c:h val="0.423597342047529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'Graphs per CBs'!$B$3</c:f>
              <c:strCache>
                <c:ptCount val="1"/>
                <c:pt idx="0">
                  <c:v>Cosmetic products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'Graphs per CBs'!$C$2:$AE$2</c:f>
              <c:strCache>
                <c:ptCount val="29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'Graphs per CBs'!$C$3:$AE$3</c:f>
              <c:numCache>
                <c:formatCode>General</c:formatCode>
                <c:ptCount val="29"/>
                <c:pt idx="0">
                  <c:v>8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17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9</c:v>
                </c:pt>
                <c:pt idx="12">
                  <c:v>1</c:v>
                </c:pt>
                <c:pt idx="13">
                  <c:v>0</c:v>
                </c:pt>
                <c:pt idx="14">
                  <c:v>7</c:v>
                </c:pt>
                <c:pt idx="15">
                  <c:v>0</c:v>
                </c:pt>
                <c:pt idx="16">
                  <c:v>19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7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3</c:v>
                </c:pt>
                <c:pt idx="27">
                  <c:v>1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CE-4080-A7B3-86D247862CCE}"/>
            </c:ext>
          </c:extLst>
        </c:ser>
        <c:ser>
          <c:idx val="1"/>
          <c:order val="1"/>
          <c:tx>
            <c:strRef>
              <c:f>'Graphs per CBs'!$B$4</c:f>
              <c:strCache>
                <c:ptCount val="1"/>
                <c:pt idx="0">
                  <c:v>Absorbent hygiene products (2014 criteria)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'Graphs per CBs'!$C$2:$AE$2</c:f>
              <c:strCache>
                <c:ptCount val="29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'Graphs per CBs'!$C$4:$AE$4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6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CE-4080-A7B3-86D247862CCE}"/>
            </c:ext>
          </c:extLst>
        </c:ser>
        <c:ser>
          <c:idx val="2"/>
          <c:order val="2"/>
          <c:tx>
            <c:strRef>
              <c:f>'Graphs per CBs'!$B$5</c:f>
              <c:strCache>
                <c:ptCount val="1"/>
                <c:pt idx="0">
                  <c:v>Absorbent hygiene products (new 2023 criteria)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'Graphs per CBs'!$C$2:$AE$2</c:f>
              <c:strCache>
                <c:ptCount val="29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'Graphs per CBs'!$C$5:$AE$5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CE-4080-A7B3-86D247862CCE}"/>
            </c:ext>
          </c:extLst>
        </c:ser>
        <c:ser>
          <c:idx val="3"/>
          <c:order val="3"/>
          <c:tx>
            <c:strRef>
              <c:f>'Graphs per CBs'!$B$6</c:f>
              <c:strCache>
                <c:ptCount val="1"/>
                <c:pt idx="0">
                  <c:v>Reusable menstrual cups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'Graphs per CBs'!$C$2:$AE$2</c:f>
              <c:strCache>
                <c:ptCount val="29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'Graphs per CBs'!$C$6:$AE$6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CE-4080-A7B3-86D247862CCE}"/>
            </c:ext>
          </c:extLst>
        </c:ser>
        <c:ser>
          <c:idx val="4"/>
          <c:order val="4"/>
          <c:tx>
            <c:strRef>
              <c:f>'Graphs per CBs'!$B$7</c:f>
              <c:strCache>
                <c:ptCount val="1"/>
                <c:pt idx="0">
                  <c:v>Animal care products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'Graphs per CBs'!$C$2:$AE$2</c:f>
              <c:strCache>
                <c:ptCount val="29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'Graphs per CBs'!$C$7:$AE$7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CE-4080-A7B3-86D247862CCE}"/>
            </c:ext>
          </c:extLst>
        </c:ser>
        <c:ser>
          <c:idx val="5"/>
          <c:order val="5"/>
          <c:tx>
            <c:strRef>
              <c:f>'Graphs per CBs'!$B$8</c:f>
              <c:strCache>
                <c:ptCount val="1"/>
                <c:pt idx="0">
                  <c:v>Hard surface cleaning products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'Graphs per CBs'!$C$2:$AE$2</c:f>
              <c:strCache>
                <c:ptCount val="29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'Graphs per CBs'!$C$8:$AE$8</c:f>
              <c:numCache>
                <c:formatCode>General</c:formatCode>
                <c:ptCount val="29"/>
                <c:pt idx="0">
                  <c:v>24</c:v>
                </c:pt>
                <c:pt idx="1">
                  <c:v>19</c:v>
                </c:pt>
                <c:pt idx="2">
                  <c:v>2</c:v>
                </c:pt>
                <c:pt idx="3">
                  <c:v>0</c:v>
                </c:pt>
                <c:pt idx="4">
                  <c:v>7</c:v>
                </c:pt>
                <c:pt idx="5">
                  <c:v>85</c:v>
                </c:pt>
                <c:pt idx="6">
                  <c:v>10</c:v>
                </c:pt>
                <c:pt idx="7">
                  <c:v>4</c:v>
                </c:pt>
                <c:pt idx="8">
                  <c:v>1</c:v>
                </c:pt>
                <c:pt idx="9">
                  <c:v>71</c:v>
                </c:pt>
                <c:pt idx="10">
                  <c:v>3</c:v>
                </c:pt>
                <c:pt idx="11">
                  <c:v>18</c:v>
                </c:pt>
                <c:pt idx="12">
                  <c:v>5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50</c:v>
                </c:pt>
                <c:pt idx="17">
                  <c:v>1</c:v>
                </c:pt>
                <c:pt idx="18">
                  <c:v>6</c:v>
                </c:pt>
                <c:pt idx="19">
                  <c:v>2</c:v>
                </c:pt>
                <c:pt idx="20">
                  <c:v>1</c:v>
                </c:pt>
                <c:pt idx="21">
                  <c:v>28</c:v>
                </c:pt>
                <c:pt idx="22">
                  <c:v>0</c:v>
                </c:pt>
                <c:pt idx="23">
                  <c:v>13</c:v>
                </c:pt>
                <c:pt idx="24">
                  <c:v>7</c:v>
                </c:pt>
                <c:pt idx="25">
                  <c:v>17</c:v>
                </c:pt>
                <c:pt idx="26">
                  <c:v>2</c:v>
                </c:pt>
                <c:pt idx="27">
                  <c:v>7</c:v>
                </c:pt>
                <c:pt idx="2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CE-4080-A7B3-86D247862CCE}"/>
            </c:ext>
          </c:extLst>
        </c:ser>
        <c:ser>
          <c:idx val="6"/>
          <c:order val="6"/>
          <c:tx>
            <c:strRef>
              <c:f>'Graphs per CBs'!$B$9</c:f>
              <c:strCache>
                <c:ptCount val="1"/>
                <c:pt idx="0">
                  <c:v>Dishwasher detergents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CBs'!$C$2:$AE$2</c:f>
              <c:strCache>
                <c:ptCount val="29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'Graphs per CBs'!$C$9:$AE$9</c:f>
              <c:numCache>
                <c:formatCode>General</c:formatCode>
                <c:ptCount val="29"/>
                <c:pt idx="0">
                  <c:v>6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14</c:v>
                </c:pt>
                <c:pt idx="6">
                  <c:v>8</c:v>
                </c:pt>
                <c:pt idx="7">
                  <c:v>4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8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5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2CE-4080-A7B3-86D247862CCE}"/>
            </c:ext>
          </c:extLst>
        </c:ser>
        <c:ser>
          <c:idx val="7"/>
          <c:order val="7"/>
          <c:tx>
            <c:strRef>
              <c:f>'Graphs per CBs'!$B$10</c:f>
              <c:strCache>
                <c:ptCount val="1"/>
                <c:pt idx="0">
                  <c:v>Industrial and institutional dishwasher detergents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CBs'!$C$2:$AE$2</c:f>
              <c:strCache>
                <c:ptCount val="29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'Graphs per CBs'!$C$10:$AE$10</c:f>
              <c:numCache>
                <c:formatCode>General</c:formatCode>
                <c:ptCount val="29"/>
                <c:pt idx="0">
                  <c:v>7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28</c:v>
                </c:pt>
                <c:pt idx="10">
                  <c:v>0</c:v>
                </c:pt>
                <c:pt idx="11">
                  <c:v>7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2CE-4080-A7B3-86D247862CCE}"/>
            </c:ext>
          </c:extLst>
        </c:ser>
        <c:ser>
          <c:idx val="8"/>
          <c:order val="8"/>
          <c:tx>
            <c:strRef>
              <c:f>'Graphs per CBs'!$B$11</c:f>
              <c:strCache>
                <c:ptCount val="1"/>
                <c:pt idx="0">
                  <c:v>Hand dishwashing detergents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CBs'!$C$2:$AE$2</c:f>
              <c:strCache>
                <c:ptCount val="29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'Graphs per CBs'!$C$11:$AE$11</c:f>
              <c:numCache>
                <c:formatCode>General</c:formatCode>
                <c:ptCount val="29"/>
                <c:pt idx="0">
                  <c:v>13</c:v>
                </c:pt>
                <c:pt idx="1">
                  <c:v>10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  <c:pt idx="5">
                  <c:v>30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46</c:v>
                </c:pt>
                <c:pt idx="10">
                  <c:v>0</c:v>
                </c:pt>
                <c:pt idx="11">
                  <c:v>15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29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9</c:v>
                </c:pt>
                <c:pt idx="22">
                  <c:v>0</c:v>
                </c:pt>
                <c:pt idx="23">
                  <c:v>8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  <c:pt idx="27">
                  <c:v>3</c:v>
                </c:pt>
                <c:pt idx="2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2CE-4080-A7B3-86D247862CCE}"/>
            </c:ext>
          </c:extLst>
        </c:ser>
        <c:ser>
          <c:idx val="9"/>
          <c:order val="9"/>
          <c:tx>
            <c:strRef>
              <c:f>'Graphs per CBs'!$B$12</c:f>
              <c:strCache>
                <c:ptCount val="1"/>
                <c:pt idx="0">
                  <c:v>Laundry detergents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CBs'!$C$2:$AE$2</c:f>
              <c:strCache>
                <c:ptCount val="29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'Graphs per CBs'!$C$12:$AE$12</c:f>
              <c:numCache>
                <c:formatCode>General</c:formatCode>
                <c:ptCount val="29"/>
                <c:pt idx="0">
                  <c:v>3</c:v>
                </c:pt>
                <c:pt idx="1">
                  <c:v>7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24</c:v>
                </c:pt>
                <c:pt idx="6">
                  <c:v>7</c:v>
                </c:pt>
                <c:pt idx="7">
                  <c:v>3</c:v>
                </c:pt>
                <c:pt idx="8">
                  <c:v>0</c:v>
                </c:pt>
                <c:pt idx="9">
                  <c:v>23</c:v>
                </c:pt>
                <c:pt idx="10">
                  <c:v>0</c:v>
                </c:pt>
                <c:pt idx="11">
                  <c:v>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14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8</c:v>
                </c:pt>
                <c:pt idx="22">
                  <c:v>0</c:v>
                </c:pt>
                <c:pt idx="23">
                  <c:v>6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2CE-4080-A7B3-86D247862CCE}"/>
            </c:ext>
          </c:extLst>
        </c:ser>
        <c:ser>
          <c:idx val="10"/>
          <c:order val="10"/>
          <c:tx>
            <c:strRef>
              <c:f>'Graphs per CBs'!$B$13</c:f>
              <c:strCache>
                <c:ptCount val="1"/>
                <c:pt idx="0">
                  <c:v>Industrial and Institutional laundry detergents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CBs'!$C$2:$AE$2</c:f>
              <c:strCache>
                <c:ptCount val="29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'Graphs per CBs'!$C$13:$AE$13</c:f>
              <c:numCache>
                <c:formatCode>General</c:formatCode>
                <c:ptCount val="29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2CE-4080-A7B3-86D247862CCE}"/>
            </c:ext>
          </c:extLst>
        </c:ser>
        <c:ser>
          <c:idx val="11"/>
          <c:order val="11"/>
          <c:tx>
            <c:strRef>
              <c:f>'Graphs per CBs'!$B$14</c:f>
              <c:strCache>
                <c:ptCount val="1"/>
                <c:pt idx="0">
                  <c:v>Indoor cleaning services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CBs'!$C$2:$AE$2</c:f>
              <c:strCache>
                <c:ptCount val="29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'Graphs per CBs'!$C$14:$AE$14</c:f>
              <c:numCache>
                <c:formatCode>General</c:formatCode>
                <c:ptCount val="29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19</c:v>
                </c:pt>
                <c:pt idx="10">
                  <c:v>0</c:v>
                </c:pt>
                <c:pt idx="11">
                  <c:v>9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191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2CE-4080-A7B3-86D247862CCE}"/>
            </c:ext>
          </c:extLst>
        </c:ser>
        <c:ser>
          <c:idx val="12"/>
          <c:order val="12"/>
          <c:tx>
            <c:strRef>
              <c:f>'Graphs per CBs'!$B$15</c:f>
              <c:strCache>
                <c:ptCount val="1"/>
                <c:pt idx="0">
                  <c:v>Textiles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CBs'!$C$2:$AE$2</c:f>
              <c:strCache>
                <c:ptCount val="29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'Graphs per CBs'!$C$15:$AE$15</c:f>
              <c:numCache>
                <c:formatCode>General</c:formatCode>
                <c:ptCount val="29"/>
                <c:pt idx="0">
                  <c:v>7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9</c:v>
                </c:pt>
                <c:pt idx="6">
                  <c:v>30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</c:v>
                </c:pt>
                <c:pt idx="22">
                  <c:v>10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2CE-4080-A7B3-86D247862CCE}"/>
            </c:ext>
          </c:extLst>
        </c:ser>
        <c:ser>
          <c:idx val="13"/>
          <c:order val="13"/>
          <c:tx>
            <c:strRef>
              <c:f>'Graphs per CBs'!$B$16</c:f>
              <c:strCache>
                <c:ptCount val="1"/>
                <c:pt idx="0">
                  <c:v>Footwear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CBs'!$C$2:$AE$2</c:f>
              <c:strCache>
                <c:ptCount val="29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'Graphs per CBs'!$C$16:$AE$16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D-82CE-4080-A7B3-86D247862CCE}"/>
            </c:ext>
          </c:extLst>
        </c:ser>
        <c:ser>
          <c:idx val="14"/>
          <c:order val="14"/>
          <c:tx>
            <c:strRef>
              <c:f>'Graphs per CBs'!$B$17</c:f>
              <c:strCache>
                <c:ptCount val="1"/>
                <c:pt idx="0">
                  <c:v>Indoor and Outdoor paints and varnishes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CBs'!$C$2:$AE$2</c:f>
              <c:strCache>
                <c:ptCount val="29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'Graphs per CBs'!$C$17:$AE$17</c:f>
              <c:numCache>
                <c:formatCode>General</c:formatCode>
                <c:ptCount val="29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27</c:v>
                </c:pt>
                <c:pt idx="6">
                  <c:v>5</c:v>
                </c:pt>
                <c:pt idx="7">
                  <c:v>1</c:v>
                </c:pt>
                <c:pt idx="8">
                  <c:v>18</c:v>
                </c:pt>
                <c:pt idx="9">
                  <c:v>37</c:v>
                </c:pt>
                <c:pt idx="10">
                  <c:v>1</c:v>
                </c:pt>
                <c:pt idx="11">
                  <c:v>39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8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7</c:v>
                </c:pt>
                <c:pt idx="22">
                  <c:v>0</c:v>
                </c:pt>
                <c:pt idx="23">
                  <c:v>4</c:v>
                </c:pt>
                <c:pt idx="24">
                  <c:v>5</c:v>
                </c:pt>
                <c:pt idx="25">
                  <c:v>19</c:v>
                </c:pt>
                <c:pt idx="26">
                  <c:v>7</c:v>
                </c:pt>
                <c:pt idx="27">
                  <c:v>1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2CE-4080-A7B3-86D247862CCE}"/>
            </c:ext>
          </c:extLst>
        </c:ser>
        <c:ser>
          <c:idx val="15"/>
          <c:order val="15"/>
          <c:tx>
            <c:strRef>
              <c:f>'Graphs per CBs'!$B$18</c:f>
              <c:strCache>
                <c:ptCount val="1"/>
                <c:pt idx="0">
                  <c:v>Electronic displays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CBs'!$C$2:$AE$2</c:f>
              <c:strCache>
                <c:ptCount val="29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'Graphs per CBs'!$C$18:$AE$18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2CE-4080-A7B3-86D247862CCE}"/>
            </c:ext>
          </c:extLst>
        </c:ser>
        <c:ser>
          <c:idx val="16"/>
          <c:order val="16"/>
          <c:tx>
            <c:strRef>
              <c:f>'Graphs per CBs'!$B$19</c:f>
              <c:strCache>
                <c:ptCount val="1"/>
                <c:pt idx="0">
                  <c:v>Wood-,cork- and Bamboo-based Floor Coverings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CBs'!$C$2:$AE$2</c:f>
              <c:strCache>
                <c:ptCount val="29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'Graphs per CBs'!$C$19:$AE$19</c:f>
              <c:numCache>
                <c:formatCode>General</c:formatCode>
                <c:ptCount val="2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2CE-4080-A7B3-86D247862CCE}"/>
            </c:ext>
          </c:extLst>
        </c:ser>
        <c:ser>
          <c:idx val="17"/>
          <c:order val="17"/>
          <c:tx>
            <c:strRef>
              <c:f>'Graphs per CBs'!$B$20</c:f>
              <c:strCache>
                <c:ptCount val="1"/>
                <c:pt idx="0">
                  <c:v>Hard covering products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CBs'!$C$2:$AE$2</c:f>
              <c:strCache>
                <c:ptCount val="29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'Graphs per CBs'!$C$20:$AE$20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2CE-4080-A7B3-86D247862CCE}"/>
            </c:ext>
          </c:extLst>
        </c:ser>
        <c:ser>
          <c:idx val="18"/>
          <c:order val="18"/>
          <c:tx>
            <c:strRef>
              <c:f>'Graphs per CBs'!$B$21</c:f>
              <c:strCache>
                <c:ptCount val="1"/>
                <c:pt idx="0">
                  <c:v>Furniture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CBs'!$C$2:$AE$2</c:f>
              <c:strCache>
                <c:ptCount val="29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'Graphs per CBs'!$C$21:$AE$21</c:f>
              <c:numCache>
                <c:formatCode>General</c:formatCode>
                <c:ptCount val="2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1</c:v>
                </c:pt>
                <c:pt idx="6">
                  <c:v>55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9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2CE-4080-A7B3-86D247862CCE}"/>
            </c:ext>
          </c:extLst>
        </c:ser>
        <c:ser>
          <c:idx val="19"/>
          <c:order val="19"/>
          <c:tx>
            <c:strRef>
              <c:f>'Graphs per CBs'!$B$22</c:f>
              <c:strCache>
                <c:ptCount val="1"/>
                <c:pt idx="0">
                  <c:v>Bed mattresses 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CBs'!$C$2:$AE$2</c:f>
              <c:strCache>
                <c:ptCount val="29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'Graphs per CBs'!$C$22:$AE$22</c:f>
              <c:numCache>
                <c:formatCode>General</c:formatCode>
                <c:ptCount val="29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2CE-4080-A7B3-86D247862CCE}"/>
            </c:ext>
          </c:extLst>
        </c:ser>
        <c:ser>
          <c:idx val="20"/>
          <c:order val="20"/>
          <c:tx>
            <c:strRef>
              <c:f>'Graphs per CBs'!$B$23</c:f>
              <c:strCache>
                <c:ptCount val="1"/>
                <c:pt idx="0">
                  <c:v>Growing media and soil improvers 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CBs'!$C$2:$AE$2</c:f>
              <c:strCache>
                <c:ptCount val="29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'Graphs per CBs'!$C$23:$AE$23</c:f>
              <c:numCache>
                <c:formatCode>General</c:formatCode>
                <c:ptCount val="2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2CE-4080-A7B3-86D247862CCE}"/>
            </c:ext>
          </c:extLst>
        </c:ser>
        <c:ser>
          <c:idx val="21"/>
          <c:order val="21"/>
          <c:tx>
            <c:strRef>
              <c:f>'Graphs per CBs'!$B$24</c:f>
              <c:strCache>
                <c:ptCount val="1"/>
                <c:pt idx="0">
                  <c:v>Lubricants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CBs'!$C$2:$AE$2</c:f>
              <c:strCache>
                <c:ptCount val="29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'Graphs per CBs'!$C$24:$AE$24</c:f>
              <c:numCache>
                <c:formatCode>General</c:formatCode>
                <c:ptCount val="29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1</c:v>
                </c:pt>
                <c:pt idx="11">
                  <c:v>10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13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2CE-4080-A7B3-86D247862CCE}"/>
            </c:ext>
          </c:extLst>
        </c:ser>
        <c:ser>
          <c:idx val="22"/>
          <c:order val="22"/>
          <c:tx>
            <c:strRef>
              <c:f>'Graphs per CBs'!$B$25</c:f>
              <c:strCache>
                <c:ptCount val="1"/>
                <c:pt idx="0">
                  <c:v>Graphic Paper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CBs'!$C$2:$AE$2</c:f>
              <c:strCache>
                <c:ptCount val="29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'Graphs per CBs'!$C$25:$AE$25</c:f>
              <c:numCache>
                <c:formatCode>General</c:formatCode>
                <c:ptCount val="29"/>
                <c:pt idx="0">
                  <c:v>8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7</c:v>
                </c:pt>
                <c:pt idx="27">
                  <c:v>1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2CE-4080-A7B3-86D247862CCE}"/>
            </c:ext>
          </c:extLst>
        </c:ser>
        <c:ser>
          <c:idx val="23"/>
          <c:order val="23"/>
          <c:tx>
            <c:strRef>
              <c:f>'Graphs per CBs'!$B$26</c:f>
              <c:strCache>
                <c:ptCount val="1"/>
                <c:pt idx="0">
                  <c:v>Tissue paper and tissue products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CBs'!$C$2:$AE$2</c:f>
              <c:strCache>
                <c:ptCount val="29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'Graphs per CBs'!$C$26:$AE$26</c:f>
              <c:numCache>
                <c:formatCode>General</c:formatCode>
                <c:ptCount val="29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82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26</c:v>
                </c:pt>
                <c:pt idx="10">
                  <c:v>0</c:v>
                </c:pt>
                <c:pt idx="11">
                  <c:v>15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41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12</c:v>
                </c:pt>
                <c:pt idx="24">
                  <c:v>7</c:v>
                </c:pt>
                <c:pt idx="25">
                  <c:v>9</c:v>
                </c:pt>
                <c:pt idx="26">
                  <c:v>7</c:v>
                </c:pt>
                <c:pt idx="27">
                  <c:v>3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2CE-4080-A7B3-86D247862CCE}"/>
            </c:ext>
          </c:extLst>
        </c:ser>
        <c:ser>
          <c:idx val="24"/>
          <c:order val="24"/>
          <c:tx>
            <c:strRef>
              <c:f>'Graphs per CBs'!$B$27</c:f>
              <c:strCache>
                <c:ptCount val="1"/>
                <c:pt idx="0">
                  <c:v>Printed paper, stationery paper and paper carrier bag products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CBs'!$C$2:$AE$2</c:f>
              <c:strCache>
                <c:ptCount val="29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'Graphs per CBs'!$C$27:$AE$27</c:f>
              <c:numCache>
                <c:formatCode>General</c:formatCode>
                <c:ptCount val="29"/>
                <c:pt idx="0">
                  <c:v>41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28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2CE-4080-A7B3-86D247862CCE}"/>
            </c:ext>
          </c:extLst>
        </c:ser>
        <c:ser>
          <c:idx val="25"/>
          <c:order val="25"/>
          <c:tx>
            <c:strRef>
              <c:f>'Graphs per CBs'!$B$28</c:f>
              <c:strCache>
                <c:ptCount val="1"/>
                <c:pt idx="0">
                  <c:v>Tourist accommodation services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CBs'!$C$2:$AE$2</c:f>
              <c:strCache>
                <c:ptCount val="29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'Graphs per CBs'!$C$28:$AE$28</c:f>
              <c:numCache>
                <c:formatCode>General</c:formatCode>
                <c:ptCount val="29"/>
                <c:pt idx="0">
                  <c:v>182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59</c:v>
                </c:pt>
                <c:pt idx="10">
                  <c:v>1</c:v>
                </c:pt>
                <c:pt idx="11">
                  <c:v>338</c:v>
                </c:pt>
                <c:pt idx="12">
                  <c:v>10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75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5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6</c:v>
                </c:pt>
                <c:pt idx="25">
                  <c:v>2</c:v>
                </c:pt>
                <c:pt idx="26">
                  <c:v>0</c:v>
                </c:pt>
                <c:pt idx="27">
                  <c:v>67</c:v>
                </c:pt>
                <c:pt idx="28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A-82CE-4080-A7B3-86D247862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7650728"/>
        <c:axId val="627648760"/>
        <c:extLst/>
      </c:barChart>
      <c:catAx>
        <c:axId val="627650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7648760"/>
        <c:crosses val="autoZero"/>
        <c:auto val="1"/>
        <c:lblAlgn val="ctr"/>
        <c:lblOffset val="100"/>
        <c:noMultiLvlLbl val="0"/>
      </c:catAx>
      <c:valAx>
        <c:axId val="627648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7650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23529757548502E-2"/>
          <c:y val="0.57474026365140762"/>
          <c:w val="0.85562493937977802"/>
          <c:h val="0.409701587768273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853555988182724E-2"/>
          <c:y val="2.8582994070473124E-2"/>
          <c:w val="0.93485103608031694"/>
          <c:h val="0.585986431626842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'Graphs per CBs'!$C$35</c:f>
              <c:strCache>
                <c:ptCount val="1"/>
                <c:pt idx="0">
                  <c:v>Absorbent hygiene products (2014 criteria)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'Graphs per CBs'!$D$33:$AE$33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</c:strCache>
            </c:strRef>
          </c:cat>
          <c:val>
            <c:numRef>
              <c:f>'Graphs per CBs'!$D$35:$AE$35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197</c:v>
                </c:pt>
                <c:pt idx="5">
                  <c:v>16</c:v>
                </c:pt>
                <c:pt idx="6">
                  <c:v>147</c:v>
                </c:pt>
                <c:pt idx="7">
                  <c:v>0</c:v>
                </c:pt>
                <c:pt idx="8">
                  <c:v>0</c:v>
                </c:pt>
                <c:pt idx="9">
                  <c:v>34</c:v>
                </c:pt>
                <c:pt idx="10">
                  <c:v>10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193</c:v>
                </c:pt>
                <c:pt idx="27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9-5F60-4442-8899-AFC680B886D1}"/>
            </c:ext>
          </c:extLst>
        </c:ser>
        <c:ser>
          <c:idx val="1"/>
          <c:order val="1"/>
          <c:tx>
            <c:strRef>
              <c:f>'Graphs per CBs'!$C$36</c:f>
              <c:strCache>
                <c:ptCount val="1"/>
                <c:pt idx="0">
                  <c:v>Absorbent hygiene products (new 2023 criteria)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'Graphs per CBs'!$D$33:$AE$33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</c:strCache>
            </c:strRef>
          </c:cat>
          <c:val>
            <c:numRef>
              <c:f>'Graphs per CBs'!$D$36:$AE$36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0-4442-8899-AFC680B886D1}"/>
            </c:ext>
          </c:extLst>
        </c:ser>
        <c:ser>
          <c:idx val="2"/>
          <c:order val="2"/>
          <c:tx>
            <c:strRef>
              <c:f>'Graphs per CBs'!$C$37</c:f>
              <c:strCache>
                <c:ptCount val="1"/>
                <c:pt idx="0">
                  <c:v>Reusable menstrual cups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'Graphs per CBs'!$D$33:$AE$33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</c:strCache>
            </c:strRef>
          </c:cat>
          <c:val>
            <c:numRef>
              <c:f>'Graphs per CBs'!$D$37:$AE$37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0-4442-8899-AFC680B886D1}"/>
            </c:ext>
          </c:extLst>
        </c:ser>
        <c:ser>
          <c:idx val="3"/>
          <c:order val="3"/>
          <c:tx>
            <c:strRef>
              <c:f>'Graphs per CBs'!$C$38</c:f>
              <c:strCache>
                <c:ptCount val="1"/>
                <c:pt idx="0">
                  <c:v>Animal care products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'Graphs per CBs'!$D$33:$AE$33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</c:strCache>
            </c:strRef>
          </c:cat>
          <c:val>
            <c:numRef>
              <c:f>'Graphs per CBs'!$D$38:$AE$38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60-4442-8899-AFC680B886D1}"/>
            </c:ext>
          </c:extLst>
        </c:ser>
        <c:ser>
          <c:idx val="4"/>
          <c:order val="4"/>
          <c:tx>
            <c:strRef>
              <c:f>'Graphs per CBs'!$C$39</c:f>
              <c:strCache>
                <c:ptCount val="1"/>
                <c:pt idx="0">
                  <c:v>Hard surface cleaning products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'Graphs per CBs'!$D$33:$AE$33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</c:strCache>
            </c:strRef>
          </c:cat>
          <c:val>
            <c:numRef>
              <c:f>'Graphs per CBs'!$D$39:$AE$39</c:f>
              <c:numCache>
                <c:formatCode>General</c:formatCode>
                <c:ptCount val="28"/>
                <c:pt idx="0">
                  <c:v>184</c:v>
                </c:pt>
                <c:pt idx="1">
                  <c:v>855</c:v>
                </c:pt>
                <c:pt idx="2">
                  <c:v>9</c:v>
                </c:pt>
                <c:pt idx="3">
                  <c:v>0</c:v>
                </c:pt>
                <c:pt idx="4">
                  <c:v>21</c:v>
                </c:pt>
                <c:pt idx="5">
                  <c:v>1030</c:v>
                </c:pt>
                <c:pt idx="6">
                  <c:v>239</c:v>
                </c:pt>
                <c:pt idx="7">
                  <c:v>171</c:v>
                </c:pt>
                <c:pt idx="8">
                  <c:v>6</c:v>
                </c:pt>
                <c:pt idx="9">
                  <c:v>1150</c:v>
                </c:pt>
                <c:pt idx="10">
                  <c:v>123</c:v>
                </c:pt>
                <c:pt idx="11">
                  <c:v>683</c:v>
                </c:pt>
                <c:pt idx="12">
                  <c:v>15</c:v>
                </c:pt>
                <c:pt idx="13">
                  <c:v>44</c:v>
                </c:pt>
                <c:pt idx="14">
                  <c:v>42</c:v>
                </c:pt>
                <c:pt idx="15">
                  <c:v>0</c:v>
                </c:pt>
                <c:pt idx="16">
                  <c:v>2298</c:v>
                </c:pt>
                <c:pt idx="17">
                  <c:v>3</c:v>
                </c:pt>
                <c:pt idx="18">
                  <c:v>6</c:v>
                </c:pt>
                <c:pt idx="19">
                  <c:v>44</c:v>
                </c:pt>
                <c:pt idx="20">
                  <c:v>13</c:v>
                </c:pt>
                <c:pt idx="21">
                  <c:v>458</c:v>
                </c:pt>
                <c:pt idx="22">
                  <c:v>0</c:v>
                </c:pt>
                <c:pt idx="23">
                  <c:v>220</c:v>
                </c:pt>
                <c:pt idx="24">
                  <c:v>72</c:v>
                </c:pt>
                <c:pt idx="25">
                  <c:v>18</c:v>
                </c:pt>
                <c:pt idx="26">
                  <c:v>138</c:v>
                </c:pt>
                <c:pt idx="27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60-4442-8899-AFC680B886D1}"/>
            </c:ext>
          </c:extLst>
        </c:ser>
        <c:ser>
          <c:idx val="5"/>
          <c:order val="5"/>
          <c:tx>
            <c:strRef>
              <c:f>'Graphs per CBs'!$C$40</c:f>
              <c:strCache>
                <c:ptCount val="1"/>
                <c:pt idx="0">
                  <c:v>Dishwasher detergents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'Graphs per CBs'!$D$33:$AE$33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</c:strCache>
            </c:strRef>
          </c:cat>
          <c:val>
            <c:numRef>
              <c:f>'Graphs per CBs'!$D$40:$AE$40</c:f>
              <c:numCache>
                <c:formatCode>General</c:formatCode>
                <c:ptCount val="28"/>
                <c:pt idx="0">
                  <c:v>23</c:v>
                </c:pt>
                <c:pt idx="1">
                  <c:v>28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22</c:v>
                </c:pt>
                <c:pt idx="6">
                  <c:v>158</c:v>
                </c:pt>
                <c:pt idx="7">
                  <c:v>28</c:v>
                </c:pt>
                <c:pt idx="8">
                  <c:v>0</c:v>
                </c:pt>
                <c:pt idx="9">
                  <c:v>53</c:v>
                </c:pt>
                <c:pt idx="10">
                  <c:v>0</c:v>
                </c:pt>
                <c:pt idx="11">
                  <c:v>55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69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128</c:v>
                </c:pt>
                <c:pt idx="22">
                  <c:v>0</c:v>
                </c:pt>
                <c:pt idx="23">
                  <c:v>19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60-4442-8899-AFC680B886D1}"/>
            </c:ext>
          </c:extLst>
        </c:ser>
        <c:ser>
          <c:idx val="6"/>
          <c:order val="6"/>
          <c:tx>
            <c:strRef>
              <c:f>'Graphs per CBs'!$C$41</c:f>
              <c:strCache>
                <c:ptCount val="1"/>
                <c:pt idx="0">
                  <c:v>Industrial and institutional dishwasher detergents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CBs'!$D$33:$AE$33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</c:strCache>
            </c:strRef>
          </c:cat>
          <c:val>
            <c:numRef>
              <c:f>'Graphs per CBs'!$D$41:$AE$41</c:f>
              <c:numCache>
                <c:formatCode>General</c:formatCode>
                <c:ptCount val="28"/>
                <c:pt idx="0">
                  <c:v>37</c:v>
                </c:pt>
                <c:pt idx="1">
                  <c:v>240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322</c:v>
                </c:pt>
                <c:pt idx="6">
                  <c:v>0</c:v>
                </c:pt>
                <c:pt idx="7">
                  <c:v>22</c:v>
                </c:pt>
                <c:pt idx="8">
                  <c:v>0</c:v>
                </c:pt>
                <c:pt idx="9">
                  <c:v>322</c:v>
                </c:pt>
                <c:pt idx="10">
                  <c:v>0</c:v>
                </c:pt>
                <c:pt idx="11">
                  <c:v>248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451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23</c:v>
                </c:pt>
                <c:pt idx="22">
                  <c:v>0</c:v>
                </c:pt>
                <c:pt idx="23">
                  <c:v>14</c:v>
                </c:pt>
                <c:pt idx="24">
                  <c:v>0</c:v>
                </c:pt>
                <c:pt idx="25">
                  <c:v>0</c:v>
                </c:pt>
                <c:pt idx="26">
                  <c:v>59</c:v>
                </c:pt>
                <c:pt idx="27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60-4442-8899-AFC680B886D1}"/>
            </c:ext>
          </c:extLst>
        </c:ser>
        <c:ser>
          <c:idx val="7"/>
          <c:order val="7"/>
          <c:tx>
            <c:strRef>
              <c:f>'Graphs per CBs'!$C$42</c:f>
              <c:strCache>
                <c:ptCount val="1"/>
                <c:pt idx="0">
                  <c:v>Hand dishwashing detergents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CBs'!$D$33:$AE$33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</c:strCache>
            </c:strRef>
          </c:cat>
          <c:val>
            <c:numRef>
              <c:f>'Graphs per CBs'!$D$42:$AE$42</c:f>
              <c:numCache>
                <c:formatCode>General</c:formatCode>
                <c:ptCount val="28"/>
                <c:pt idx="0">
                  <c:v>31</c:v>
                </c:pt>
                <c:pt idx="1">
                  <c:v>173</c:v>
                </c:pt>
                <c:pt idx="2">
                  <c:v>3</c:v>
                </c:pt>
                <c:pt idx="3">
                  <c:v>0</c:v>
                </c:pt>
                <c:pt idx="4">
                  <c:v>10</c:v>
                </c:pt>
                <c:pt idx="5">
                  <c:v>207</c:v>
                </c:pt>
                <c:pt idx="6">
                  <c:v>42</c:v>
                </c:pt>
                <c:pt idx="7">
                  <c:v>65</c:v>
                </c:pt>
                <c:pt idx="8">
                  <c:v>2</c:v>
                </c:pt>
                <c:pt idx="9">
                  <c:v>241</c:v>
                </c:pt>
                <c:pt idx="10">
                  <c:v>0</c:v>
                </c:pt>
                <c:pt idx="11">
                  <c:v>137</c:v>
                </c:pt>
                <c:pt idx="12">
                  <c:v>3</c:v>
                </c:pt>
                <c:pt idx="13">
                  <c:v>4</c:v>
                </c:pt>
                <c:pt idx="14">
                  <c:v>17</c:v>
                </c:pt>
                <c:pt idx="15">
                  <c:v>0</c:v>
                </c:pt>
                <c:pt idx="16">
                  <c:v>323</c:v>
                </c:pt>
                <c:pt idx="17">
                  <c:v>10</c:v>
                </c:pt>
                <c:pt idx="18">
                  <c:v>0</c:v>
                </c:pt>
                <c:pt idx="19">
                  <c:v>28</c:v>
                </c:pt>
                <c:pt idx="20">
                  <c:v>0</c:v>
                </c:pt>
                <c:pt idx="21">
                  <c:v>46</c:v>
                </c:pt>
                <c:pt idx="22">
                  <c:v>0</c:v>
                </c:pt>
                <c:pt idx="23">
                  <c:v>78</c:v>
                </c:pt>
                <c:pt idx="24">
                  <c:v>6</c:v>
                </c:pt>
                <c:pt idx="25">
                  <c:v>3</c:v>
                </c:pt>
                <c:pt idx="26">
                  <c:v>0</c:v>
                </c:pt>
                <c:pt idx="2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F60-4442-8899-AFC680B886D1}"/>
            </c:ext>
          </c:extLst>
        </c:ser>
        <c:ser>
          <c:idx val="8"/>
          <c:order val="8"/>
          <c:tx>
            <c:strRef>
              <c:f>'Graphs per CBs'!$C$43</c:f>
              <c:strCache>
                <c:ptCount val="1"/>
                <c:pt idx="0">
                  <c:v>Laundry detergents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CBs'!$D$33:$AE$33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</c:strCache>
            </c:strRef>
          </c:cat>
          <c:val>
            <c:numRef>
              <c:f>'Graphs per CBs'!$D$43:$AE$43</c:f>
              <c:numCache>
                <c:formatCode>General</c:formatCode>
                <c:ptCount val="28"/>
                <c:pt idx="0">
                  <c:v>13</c:v>
                </c:pt>
                <c:pt idx="1">
                  <c:v>184</c:v>
                </c:pt>
                <c:pt idx="2">
                  <c:v>7</c:v>
                </c:pt>
                <c:pt idx="3">
                  <c:v>0</c:v>
                </c:pt>
                <c:pt idx="4">
                  <c:v>6</c:v>
                </c:pt>
                <c:pt idx="5">
                  <c:v>115</c:v>
                </c:pt>
                <c:pt idx="6">
                  <c:v>110</c:v>
                </c:pt>
                <c:pt idx="7">
                  <c:v>347</c:v>
                </c:pt>
                <c:pt idx="8">
                  <c:v>0</c:v>
                </c:pt>
                <c:pt idx="9">
                  <c:v>217</c:v>
                </c:pt>
                <c:pt idx="10">
                  <c:v>0</c:v>
                </c:pt>
                <c:pt idx="11">
                  <c:v>76</c:v>
                </c:pt>
                <c:pt idx="12">
                  <c:v>1</c:v>
                </c:pt>
                <c:pt idx="13">
                  <c:v>8</c:v>
                </c:pt>
                <c:pt idx="14">
                  <c:v>11</c:v>
                </c:pt>
                <c:pt idx="15">
                  <c:v>0</c:v>
                </c:pt>
                <c:pt idx="16">
                  <c:v>111</c:v>
                </c:pt>
                <c:pt idx="17">
                  <c:v>7</c:v>
                </c:pt>
                <c:pt idx="18">
                  <c:v>0</c:v>
                </c:pt>
                <c:pt idx="19">
                  <c:v>20</c:v>
                </c:pt>
                <c:pt idx="20">
                  <c:v>0</c:v>
                </c:pt>
                <c:pt idx="21">
                  <c:v>54</c:v>
                </c:pt>
                <c:pt idx="22">
                  <c:v>0</c:v>
                </c:pt>
                <c:pt idx="23">
                  <c:v>77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F60-4442-8899-AFC680B886D1}"/>
            </c:ext>
          </c:extLst>
        </c:ser>
        <c:ser>
          <c:idx val="9"/>
          <c:order val="9"/>
          <c:tx>
            <c:strRef>
              <c:f>'Graphs per CBs'!$C$44</c:f>
              <c:strCache>
                <c:ptCount val="1"/>
                <c:pt idx="0">
                  <c:v>Industrial and Institutional laundry detergents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CBs'!$D$33:$AE$33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</c:strCache>
            </c:strRef>
          </c:cat>
          <c:val>
            <c:numRef>
              <c:f>'Graphs per CBs'!$D$44:$AE$44</c:f>
              <c:numCache>
                <c:formatCode>General</c:formatCode>
                <c:ptCount val="28"/>
                <c:pt idx="0">
                  <c:v>11</c:v>
                </c:pt>
                <c:pt idx="1">
                  <c:v>196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168</c:v>
                </c:pt>
                <c:pt idx="10">
                  <c:v>0</c:v>
                </c:pt>
                <c:pt idx="11">
                  <c:v>72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174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F60-4442-8899-AFC680B886D1}"/>
            </c:ext>
          </c:extLst>
        </c:ser>
        <c:ser>
          <c:idx val="10"/>
          <c:order val="10"/>
          <c:tx>
            <c:strRef>
              <c:f>'Graphs per CBs'!$C$45</c:f>
              <c:strCache>
                <c:ptCount val="1"/>
                <c:pt idx="0">
                  <c:v>Indoor cleaning services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CBs'!$D$33:$AE$33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</c:strCache>
            </c:strRef>
          </c:cat>
          <c:val>
            <c:numRef>
              <c:f>'Graphs per CBs'!$D$45:$AE$45</c:f>
              <c:numCache>
                <c:formatCode>General</c:formatCode>
                <c:ptCount val="28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19</c:v>
                </c:pt>
                <c:pt idx="10">
                  <c:v>0</c:v>
                </c:pt>
                <c:pt idx="11">
                  <c:v>9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191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F60-4442-8899-AFC680B886D1}"/>
            </c:ext>
          </c:extLst>
        </c:ser>
        <c:ser>
          <c:idx val="11"/>
          <c:order val="11"/>
          <c:tx>
            <c:strRef>
              <c:f>'Graphs per CBs'!$C$46</c:f>
              <c:strCache>
                <c:ptCount val="1"/>
                <c:pt idx="0">
                  <c:v>Textiles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CBs'!$D$33:$AE$33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</c:strCache>
            </c:strRef>
          </c:cat>
          <c:val>
            <c:numRef>
              <c:f>'Graphs per CBs'!$D$46:$AE$46</c:f>
              <c:numCache>
                <c:formatCode>General</c:formatCode>
                <c:ptCount val="28"/>
                <c:pt idx="0">
                  <c:v>52</c:v>
                </c:pt>
                <c:pt idx="1">
                  <c:v>1</c:v>
                </c:pt>
                <c:pt idx="2">
                  <c:v>7</c:v>
                </c:pt>
                <c:pt idx="3">
                  <c:v>0</c:v>
                </c:pt>
                <c:pt idx="4">
                  <c:v>31</c:v>
                </c:pt>
                <c:pt idx="5">
                  <c:v>21</c:v>
                </c:pt>
                <c:pt idx="6">
                  <c:v>2190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3434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164</c:v>
                </c:pt>
                <c:pt idx="22">
                  <c:v>160</c:v>
                </c:pt>
                <c:pt idx="23">
                  <c:v>89</c:v>
                </c:pt>
                <c:pt idx="24">
                  <c:v>3854</c:v>
                </c:pt>
                <c:pt idx="25">
                  <c:v>1</c:v>
                </c:pt>
                <c:pt idx="26">
                  <c:v>190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F60-4442-8899-AFC680B886D1}"/>
            </c:ext>
          </c:extLst>
        </c:ser>
        <c:ser>
          <c:idx val="12"/>
          <c:order val="12"/>
          <c:tx>
            <c:strRef>
              <c:f>'Graphs per CBs'!$C$47</c:f>
              <c:strCache>
                <c:ptCount val="1"/>
                <c:pt idx="0">
                  <c:v>Footwear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CBs'!$D$33:$AE$33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</c:strCache>
            </c:strRef>
          </c:cat>
          <c:val>
            <c:numRef>
              <c:f>'Graphs per CBs'!$D$47:$AE$47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49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F60-4442-8899-AFC680B886D1}"/>
            </c:ext>
          </c:extLst>
        </c:ser>
        <c:ser>
          <c:idx val="13"/>
          <c:order val="13"/>
          <c:tx>
            <c:strRef>
              <c:f>'Graphs per CBs'!$C$48</c:f>
              <c:strCache>
                <c:ptCount val="1"/>
                <c:pt idx="0">
                  <c:v>Indoor and Outdoor paints and varnishes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CBs'!$D$33:$AE$33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</c:strCache>
            </c:strRef>
          </c:cat>
          <c:val>
            <c:numRef>
              <c:f>'Graphs per CBs'!$D$48:$AE$48</c:f>
              <c:numCache>
                <c:formatCode>General</c:formatCode>
                <c:ptCount val="28"/>
                <c:pt idx="0">
                  <c:v>0</c:v>
                </c:pt>
                <c:pt idx="1">
                  <c:v>1305</c:v>
                </c:pt>
                <c:pt idx="2">
                  <c:v>0</c:v>
                </c:pt>
                <c:pt idx="3">
                  <c:v>84</c:v>
                </c:pt>
                <c:pt idx="4">
                  <c:v>0</c:v>
                </c:pt>
                <c:pt idx="5">
                  <c:v>6075</c:v>
                </c:pt>
                <c:pt idx="6">
                  <c:v>666</c:v>
                </c:pt>
                <c:pt idx="7">
                  <c:v>1005</c:v>
                </c:pt>
                <c:pt idx="8">
                  <c:v>4606</c:v>
                </c:pt>
                <c:pt idx="9">
                  <c:v>7430</c:v>
                </c:pt>
                <c:pt idx="10">
                  <c:v>1913</c:v>
                </c:pt>
                <c:pt idx="11">
                  <c:v>9444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1291</c:v>
                </c:pt>
                <c:pt idx="17">
                  <c:v>279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160</c:v>
                </c:pt>
                <c:pt idx="22">
                  <c:v>0</c:v>
                </c:pt>
                <c:pt idx="23">
                  <c:v>1095</c:v>
                </c:pt>
                <c:pt idx="24">
                  <c:v>62</c:v>
                </c:pt>
                <c:pt idx="25">
                  <c:v>19</c:v>
                </c:pt>
                <c:pt idx="26">
                  <c:v>1199</c:v>
                </c:pt>
                <c:pt idx="2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F60-4442-8899-AFC680B886D1}"/>
            </c:ext>
          </c:extLst>
        </c:ser>
        <c:ser>
          <c:idx val="14"/>
          <c:order val="14"/>
          <c:tx>
            <c:strRef>
              <c:f>Tabelle1!#REF!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CBs'!$D$33:$AE$33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</c:strCache>
              <c:extLst xmlns:c15="http://schemas.microsoft.com/office/drawing/2012/chart"/>
            </c:strRef>
          </c:cat>
          <c:val>
            <c:numRef>
              <c:f>Tabelle1!#REF!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D-5F60-4442-8899-AFC680B886D1}"/>
            </c:ext>
          </c:extLst>
        </c:ser>
        <c:ser>
          <c:idx val="15"/>
          <c:order val="15"/>
          <c:tx>
            <c:strRef>
              <c:f>'Graphs per CBs'!$C$49</c:f>
              <c:strCache>
                <c:ptCount val="1"/>
                <c:pt idx="0">
                  <c:v>Electronic displays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CBs'!$D$33:$AE$33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</c:strCache>
            </c:strRef>
          </c:cat>
          <c:val>
            <c:numRef>
              <c:f>'Graphs per CBs'!$D$49:$AE$49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F60-4442-8899-AFC680B886D1}"/>
            </c:ext>
          </c:extLst>
        </c:ser>
        <c:ser>
          <c:idx val="16"/>
          <c:order val="16"/>
          <c:tx>
            <c:strRef>
              <c:f>'Graphs per CBs'!$C$50</c:f>
              <c:strCache>
                <c:ptCount val="1"/>
                <c:pt idx="0">
                  <c:v>Wood-,cork- and Bamboo-based Floor Coverings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CBs'!$D$33:$AE$33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</c:strCache>
            </c:strRef>
          </c:cat>
          <c:val>
            <c:numRef>
              <c:f>'Graphs per CBs'!$D$50:$AE$50</c:f>
              <c:numCache>
                <c:formatCode>General</c:formatCode>
                <c:ptCount val="28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465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1784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F60-4442-8899-AFC680B886D1}"/>
            </c:ext>
          </c:extLst>
        </c:ser>
        <c:ser>
          <c:idx val="17"/>
          <c:order val="17"/>
          <c:tx>
            <c:strRef>
              <c:f>'Graphs per CBs'!$C$51</c:f>
              <c:strCache>
                <c:ptCount val="1"/>
                <c:pt idx="0">
                  <c:v>Hard covering products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CBs'!$D$33:$AE$33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</c:strCache>
            </c:strRef>
          </c:cat>
          <c:val>
            <c:numRef>
              <c:f>'Graphs per CBs'!$D$51:$AE$51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4981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F60-4442-8899-AFC680B886D1}"/>
            </c:ext>
          </c:extLst>
        </c:ser>
        <c:ser>
          <c:idx val="18"/>
          <c:order val="18"/>
          <c:tx>
            <c:strRef>
              <c:f>'Graphs per CBs'!$C$52</c:f>
              <c:strCache>
                <c:ptCount val="1"/>
                <c:pt idx="0">
                  <c:v>Furniture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CBs'!$D$33:$AE$33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</c:strCache>
            </c:strRef>
          </c:cat>
          <c:val>
            <c:numRef>
              <c:f>'Graphs per CBs'!$D$52:$AE$52</c:f>
              <c:numCache>
                <c:formatCode>General</c:formatCode>
                <c:ptCount val="28"/>
                <c:pt idx="0">
                  <c:v>48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2</c:v>
                </c:pt>
                <c:pt idx="6">
                  <c:v>2420</c:v>
                </c:pt>
                <c:pt idx="7">
                  <c:v>0</c:v>
                </c:pt>
                <c:pt idx="8">
                  <c:v>0</c:v>
                </c:pt>
                <c:pt idx="9">
                  <c:v>104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297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39</c:v>
                </c:pt>
                <c:pt idx="22">
                  <c:v>23</c:v>
                </c:pt>
                <c:pt idx="23">
                  <c:v>992</c:v>
                </c:pt>
                <c:pt idx="24">
                  <c:v>0</c:v>
                </c:pt>
                <c:pt idx="25">
                  <c:v>9</c:v>
                </c:pt>
                <c:pt idx="26">
                  <c:v>1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F60-4442-8899-AFC680B886D1}"/>
            </c:ext>
          </c:extLst>
        </c:ser>
        <c:ser>
          <c:idx val="19"/>
          <c:order val="19"/>
          <c:tx>
            <c:strRef>
              <c:f>'Graphs per CBs'!$C$53</c:f>
              <c:strCache>
                <c:ptCount val="1"/>
                <c:pt idx="0">
                  <c:v>Bed mattresses 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CBs'!$D$33:$AE$33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</c:strCache>
            </c:strRef>
          </c:cat>
          <c:val>
            <c:numRef>
              <c:f>'Graphs per CBs'!$D$53:$AE$53</c:f>
              <c:numCache>
                <c:formatCode>General</c:formatCode>
                <c:ptCount val="28"/>
                <c:pt idx="0">
                  <c:v>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F60-4442-8899-AFC680B886D1}"/>
            </c:ext>
          </c:extLst>
        </c:ser>
        <c:ser>
          <c:idx val="20"/>
          <c:order val="20"/>
          <c:tx>
            <c:strRef>
              <c:f>'Graphs per CBs'!$C$54</c:f>
              <c:strCache>
                <c:ptCount val="1"/>
                <c:pt idx="0">
                  <c:v>Growing media and soil improvers 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CBs'!$D$33:$AE$33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</c:strCache>
            </c:strRef>
          </c:cat>
          <c:val>
            <c:numRef>
              <c:f>'Graphs per CBs'!$D$54:$AE$54</c:f>
              <c:numCache>
                <c:formatCode>General</c:formatCode>
                <c:ptCount val="28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71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F60-4442-8899-AFC680B886D1}"/>
            </c:ext>
          </c:extLst>
        </c:ser>
        <c:ser>
          <c:idx val="21"/>
          <c:order val="21"/>
          <c:tx>
            <c:strRef>
              <c:f>'Graphs per CBs'!$C$55</c:f>
              <c:strCache>
                <c:ptCount val="1"/>
                <c:pt idx="0">
                  <c:v>Lubricants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CBs'!$D$33:$AE$33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</c:strCache>
            </c:strRef>
          </c:cat>
          <c:val>
            <c:numRef>
              <c:f>'Graphs per CBs'!$D$55:$AE$55</c:f>
              <c:numCache>
                <c:formatCode>General</c:formatCode>
                <c:ptCount val="28"/>
                <c:pt idx="0">
                  <c:v>4</c:v>
                </c:pt>
                <c:pt idx="1">
                  <c:v>36</c:v>
                </c:pt>
                <c:pt idx="2">
                  <c:v>0</c:v>
                </c:pt>
                <c:pt idx="3">
                  <c:v>0</c:v>
                </c:pt>
                <c:pt idx="4">
                  <c:v>13</c:v>
                </c:pt>
                <c:pt idx="5">
                  <c:v>152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46</c:v>
                </c:pt>
                <c:pt idx="10">
                  <c:v>4</c:v>
                </c:pt>
                <c:pt idx="11">
                  <c:v>82</c:v>
                </c:pt>
                <c:pt idx="12">
                  <c:v>0</c:v>
                </c:pt>
                <c:pt idx="13">
                  <c:v>0</c:v>
                </c:pt>
                <c:pt idx="14">
                  <c:v>6</c:v>
                </c:pt>
                <c:pt idx="15">
                  <c:v>0</c:v>
                </c:pt>
                <c:pt idx="16">
                  <c:v>33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250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61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F60-4442-8899-AFC680B886D1}"/>
            </c:ext>
          </c:extLst>
        </c:ser>
        <c:ser>
          <c:idx val="22"/>
          <c:order val="22"/>
          <c:tx>
            <c:strRef>
              <c:f>'Graphs per CBs'!$C$56</c:f>
              <c:strCache>
                <c:ptCount val="1"/>
                <c:pt idx="0">
                  <c:v>Graphic Paper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CBs'!$D$33:$AE$33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</c:strCache>
            </c:strRef>
          </c:cat>
          <c:val>
            <c:numRef>
              <c:f>'Graphs per CBs'!$D$56:$AE$56</c:f>
              <c:numCache>
                <c:formatCode>General</c:formatCode>
                <c:ptCount val="28"/>
                <c:pt idx="0">
                  <c:v>127</c:v>
                </c:pt>
                <c:pt idx="1">
                  <c:v>608</c:v>
                </c:pt>
                <c:pt idx="2">
                  <c:v>0</c:v>
                </c:pt>
                <c:pt idx="3">
                  <c:v>0</c:v>
                </c:pt>
                <c:pt idx="4">
                  <c:v>79</c:v>
                </c:pt>
                <c:pt idx="5">
                  <c:v>130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38</c:v>
                </c:pt>
                <c:pt idx="10">
                  <c:v>302</c:v>
                </c:pt>
                <c:pt idx="11">
                  <c:v>228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987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213</c:v>
                </c:pt>
                <c:pt idx="22">
                  <c:v>9</c:v>
                </c:pt>
                <c:pt idx="23">
                  <c:v>172</c:v>
                </c:pt>
                <c:pt idx="24">
                  <c:v>1127</c:v>
                </c:pt>
                <c:pt idx="25">
                  <c:v>0</c:v>
                </c:pt>
                <c:pt idx="26">
                  <c:v>165</c:v>
                </c:pt>
                <c:pt idx="2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F60-4442-8899-AFC680B886D1}"/>
            </c:ext>
          </c:extLst>
        </c:ser>
        <c:ser>
          <c:idx val="23"/>
          <c:order val="23"/>
          <c:tx>
            <c:strRef>
              <c:f>'Graphs per CBs'!$C$57</c:f>
              <c:strCache>
                <c:ptCount val="1"/>
                <c:pt idx="0">
                  <c:v>Tissue paper and tissue products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CBs'!$D$33:$AE$33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</c:strCache>
            </c:strRef>
          </c:cat>
          <c:val>
            <c:numRef>
              <c:f>'Graphs per CBs'!$D$57:$AE$57</c:f>
              <c:numCache>
                <c:formatCode>General</c:formatCode>
                <c:ptCount val="28"/>
                <c:pt idx="0">
                  <c:v>10</c:v>
                </c:pt>
                <c:pt idx="1">
                  <c:v>253</c:v>
                </c:pt>
                <c:pt idx="2">
                  <c:v>79</c:v>
                </c:pt>
                <c:pt idx="3">
                  <c:v>0</c:v>
                </c:pt>
                <c:pt idx="4">
                  <c:v>28</c:v>
                </c:pt>
                <c:pt idx="5">
                  <c:v>855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4496</c:v>
                </c:pt>
                <c:pt idx="10">
                  <c:v>0</c:v>
                </c:pt>
                <c:pt idx="11">
                  <c:v>856</c:v>
                </c:pt>
                <c:pt idx="12">
                  <c:v>23</c:v>
                </c:pt>
                <c:pt idx="13">
                  <c:v>25</c:v>
                </c:pt>
                <c:pt idx="14">
                  <c:v>37</c:v>
                </c:pt>
                <c:pt idx="15">
                  <c:v>0</c:v>
                </c:pt>
                <c:pt idx="16">
                  <c:v>5222</c:v>
                </c:pt>
                <c:pt idx="17">
                  <c:v>437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306</c:v>
                </c:pt>
                <c:pt idx="22">
                  <c:v>0</c:v>
                </c:pt>
                <c:pt idx="23">
                  <c:v>481</c:v>
                </c:pt>
                <c:pt idx="24">
                  <c:v>1733</c:v>
                </c:pt>
                <c:pt idx="25">
                  <c:v>61</c:v>
                </c:pt>
                <c:pt idx="26">
                  <c:v>2585</c:v>
                </c:pt>
                <c:pt idx="2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F60-4442-8899-AFC680B886D1}"/>
            </c:ext>
          </c:extLst>
        </c:ser>
        <c:ser>
          <c:idx val="24"/>
          <c:order val="24"/>
          <c:tx>
            <c:strRef>
              <c:f>'Graphs per CBs'!$C$58</c:f>
              <c:strCache>
                <c:ptCount val="1"/>
                <c:pt idx="0">
                  <c:v>Printed paper, stationery paper and paper carrier bag products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CBs'!$D$33:$AE$33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</c:strCache>
            </c:strRef>
          </c:cat>
          <c:val>
            <c:numRef>
              <c:f>'Graphs per CBs'!$D$58:$AE$58</c:f>
              <c:numCache>
                <c:formatCode>General</c:formatCode>
                <c:ptCount val="28"/>
                <c:pt idx="0">
                  <c:v>310</c:v>
                </c:pt>
                <c:pt idx="1">
                  <c:v>49</c:v>
                </c:pt>
                <c:pt idx="2">
                  <c:v>0</c:v>
                </c:pt>
                <c:pt idx="3">
                  <c:v>0</c:v>
                </c:pt>
                <c:pt idx="4">
                  <c:v>16</c:v>
                </c:pt>
                <c:pt idx="5">
                  <c:v>39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117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6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799</c:v>
                </c:pt>
                <c:pt idx="24">
                  <c:v>6</c:v>
                </c:pt>
                <c:pt idx="25">
                  <c:v>1</c:v>
                </c:pt>
                <c:pt idx="26">
                  <c:v>6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F60-4442-8899-AFC680B886D1}"/>
            </c:ext>
          </c:extLst>
        </c:ser>
        <c:ser>
          <c:idx val="25"/>
          <c:order val="25"/>
          <c:tx>
            <c:strRef>
              <c:f>'Graphs per CBs'!$C$59</c:f>
              <c:strCache>
                <c:ptCount val="1"/>
                <c:pt idx="0">
                  <c:v>Tourist accommodation services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CBs'!$D$33:$AE$33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</c:strCache>
            </c:strRef>
          </c:cat>
          <c:val>
            <c:numRef>
              <c:f>'Graphs per CBs'!$D$59:$AE$59</c:f>
              <c:numCache>
                <c:formatCode>General</c:formatCode>
                <c:ptCount val="28"/>
                <c:pt idx="0">
                  <c:v>182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22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59</c:v>
                </c:pt>
                <c:pt idx="10">
                  <c:v>1</c:v>
                </c:pt>
                <c:pt idx="11">
                  <c:v>338</c:v>
                </c:pt>
                <c:pt idx="12">
                  <c:v>10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76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5</c:v>
                </c:pt>
                <c:pt idx="21">
                  <c:v>22</c:v>
                </c:pt>
                <c:pt idx="22">
                  <c:v>0</c:v>
                </c:pt>
                <c:pt idx="23">
                  <c:v>0</c:v>
                </c:pt>
                <c:pt idx="24">
                  <c:v>6</c:v>
                </c:pt>
                <c:pt idx="25">
                  <c:v>2</c:v>
                </c:pt>
                <c:pt idx="26">
                  <c:v>0</c:v>
                </c:pt>
                <c:pt idx="27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F60-4442-8899-AFC680B886D1}"/>
            </c:ext>
          </c:extLst>
        </c:ser>
        <c:ser>
          <c:idx val="28"/>
          <c:order val="28"/>
          <c:tx>
            <c:strRef>
              <c:f>'Graphs per CBs'!$C$34</c:f>
              <c:strCache>
                <c:ptCount val="1"/>
                <c:pt idx="0">
                  <c:v>Cosmetic products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'Graphs per CBs'!$D$33:$AE$33</c:f>
              <c:strCache>
                <c:ptCount val="28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 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</c:strCache>
            </c:strRef>
          </c:cat>
          <c:val>
            <c:numRef>
              <c:f>'Graphs per CBs'!$D$34:$AE$34</c:f>
              <c:numCache>
                <c:formatCode>General</c:formatCode>
                <c:ptCount val="28"/>
                <c:pt idx="0">
                  <c:v>40</c:v>
                </c:pt>
                <c:pt idx="1">
                  <c:v>14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100</c:v>
                </c:pt>
                <c:pt idx="6">
                  <c:v>41</c:v>
                </c:pt>
                <c:pt idx="7">
                  <c:v>151</c:v>
                </c:pt>
                <c:pt idx="8">
                  <c:v>0</c:v>
                </c:pt>
                <c:pt idx="9">
                  <c:v>157</c:v>
                </c:pt>
                <c:pt idx="10">
                  <c:v>0</c:v>
                </c:pt>
                <c:pt idx="11">
                  <c:v>87</c:v>
                </c:pt>
                <c:pt idx="12">
                  <c:v>2</c:v>
                </c:pt>
                <c:pt idx="13">
                  <c:v>0</c:v>
                </c:pt>
                <c:pt idx="14">
                  <c:v>34</c:v>
                </c:pt>
                <c:pt idx="15">
                  <c:v>0</c:v>
                </c:pt>
                <c:pt idx="16">
                  <c:v>393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98</c:v>
                </c:pt>
                <c:pt idx="22">
                  <c:v>0</c:v>
                </c:pt>
                <c:pt idx="23">
                  <c:v>12</c:v>
                </c:pt>
                <c:pt idx="24">
                  <c:v>80</c:v>
                </c:pt>
                <c:pt idx="25">
                  <c:v>5</c:v>
                </c:pt>
                <c:pt idx="26">
                  <c:v>67</c:v>
                </c:pt>
                <c:pt idx="2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5F60-4442-8899-AFC680B88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2239832"/>
        <c:axId val="712240160"/>
        <c:extLst>
          <c:ext xmlns:c15="http://schemas.microsoft.com/office/drawing/2012/chart" uri="{02D57815-91ED-43cb-92C2-25804820EDAC}">
            <c15:filteredBarSeries>
              <c15:ser>
                <c:idx val="26"/>
                <c:order val="26"/>
                <c:tx>
                  <c:strRef>
                    <c:extLst>
                      <c:ext uri="{02D57815-91ED-43cb-92C2-25804820EDAC}">
                        <c15:formulaRef>
                          <c15:sqref>'Graphs per CBs'!#REF!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'Graphs per CBs'!$D$33:$AE$33</c15:sqref>
                        </c15:formulaRef>
                      </c:ext>
                    </c:extLst>
                    <c:strCache>
                      <c:ptCount val="28"/>
                      <c:pt idx="0">
                        <c:v>AT</c:v>
                      </c:pt>
                      <c:pt idx="1">
                        <c:v>BE</c:v>
                      </c:pt>
                      <c:pt idx="2">
                        <c:v>BG</c:v>
                      </c:pt>
                      <c:pt idx="3">
                        <c:v>CY</c:v>
                      </c:pt>
                      <c:pt idx="4">
                        <c:v>CZ</c:v>
                      </c:pt>
                      <c:pt idx="5">
                        <c:v>DE</c:v>
                      </c:pt>
                      <c:pt idx="6">
                        <c:v>DK</c:v>
                      </c:pt>
                      <c:pt idx="7">
                        <c:v>EE</c:v>
                      </c:pt>
                      <c:pt idx="8">
                        <c:v>EL</c:v>
                      </c:pt>
                      <c:pt idx="9">
                        <c:v>ES</c:v>
                      </c:pt>
                      <c:pt idx="10">
                        <c:v>FI</c:v>
                      </c:pt>
                      <c:pt idx="11">
                        <c:v>FR</c:v>
                      </c:pt>
                      <c:pt idx="12">
                        <c:v>HR </c:v>
                      </c:pt>
                      <c:pt idx="13">
                        <c:v>HU</c:v>
                      </c:pt>
                      <c:pt idx="14">
                        <c:v>IE</c:v>
                      </c:pt>
                      <c:pt idx="15">
                        <c:v>IS</c:v>
                      </c:pt>
                      <c:pt idx="16">
                        <c:v>IT</c:v>
                      </c:pt>
                      <c:pt idx="17">
                        <c:v>LT</c:v>
                      </c:pt>
                      <c:pt idx="18">
                        <c:v>LU</c:v>
                      </c:pt>
                      <c:pt idx="19">
                        <c:v>LV</c:v>
                      </c:pt>
                      <c:pt idx="20">
                        <c:v>MT</c:v>
                      </c:pt>
                      <c:pt idx="21">
                        <c:v>NL</c:v>
                      </c:pt>
                      <c:pt idx="22">
                        <c:v>NO</c:v>
                      </c:pt>
                      <c:pt idx="23">
                        <c:v>PL</c:v>
                      </c:pt>
                      <c:pt idx="24">
                        <c:v>PT</c:v>
                      </c:pt>
                      <c:pt idx="25">
                        <c:v>RO</c:v>
                      </c:pt>
                      <c:pt idx="26">
                        <c:v>SE</c:v>
                      </c:pt>
                      <c:pt idx="27">
                        <c:v>SI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'Graphs per CBs'!$D$59:$AE$59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182</c:v>
                      </c:pt>
                      <c:pt idx="1">
                        <c:v>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4</c:v>
                      </c:pt>
                      <c:pt idx="5">
                        <c:v>22</c:v>
                      </c:pt>
                      <c:pt idx="6">
                        <c:v>2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59</c:v>
                      </c:pt>
                      <c:pt idx="10">
                        <c:v>1</c:v>
                      </c:pt>
                      <c:pt idx="11">
                        <c:v>338</c:v>
                      </c:pt>
                      <c:pt idx="12">
                        <c:v>10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76</c:v>
                      </c:pt>
                      <c:pt idx="17">
                        <c:v>0</c:v>
                      </c:pt>
                      <c:pt idx="18">
                        <c:v>1</c:v>
                      </c:pt>
                      <c:pt idx="19">
                        <c:v>0</c:v>
                      </c:pt>
                      <c:pt idx="20">
                        <c:v>5</c:v>
                      </c:pt>
                      <c:pt idx="21">
                        <c:v>22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6</c:v>
                      </c:pt>
                      <c:pt idx="25">
                        <c:v>2</c:v>
                      </c:pt>
                      <c:pt idx="26">
                        <c:v>0</c:v>
                      </c:pt>
                      <c:pt idx="27">
                        <c:v>67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A-5F60-4442-8899-AFC680B886D1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'Graphs per CBs'!$C$60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'Graphs per CBs'!$D$33:$AE$33</c15:sqref>
                        </c15:formulaRef>
                      </c:ext>
                    </c:extLst>
                    <c:strCache>
                      <c:ptCount val="28"/>
                      <c:pt idx="0">
                        <c:v>AT</c:v>
                      </c:pt>
                      <c:pt idx="1">
                        <c:v>BE</c:v>
                      </c:pt>
                      <c:pt idx="2">
                        <c:v>BG</c:v>
                      </c:pt>
                      <c:pt idx="3">
                        <c:v>CY</c:v>
                      </c:pt>
                      <c:pt idx="4">
                        <c:v>CZ</c:v>
                      </c:pt>
                      <c:pt idx="5">
                        <c:v>DE</c:v>
                      </c:pt>
                      <c:pt idx="6">
                        <c:v>DK</c:v>
                      </c:pt>
                      <c:pt idx="7">
                        <c:v>EE</c:v>
                      </c:pt>
                      <c:pt idx="8">
                        <c:v>EL</c:v>
                      </c:pt>
                      <c:pt idx="9">
                        <c:v>ES</c:v>
                      </c:pt>
                      <c:pt idx="10">
                        <c:v>FI</c:v>
                      </c:pt>
                      <c:pt idx="11">
                        <c:v>FR</c:v>
                      </c:pt>
                      <c:pt idx="12">
                        <c:v>HR </c:v>
                      </c:pt>
                      <c:pt idx="13">
                        <c:v>HU</c:v>
                      </c:pt>
                      <c:pt idx="14">
                        <c:v>IE</c:v>
                      </c:pt>
                      <c:pt idx="15">
                        <c:v>IS</c:v>
                      </c:pt>
                      <c:pt idx="16">
                        <c:v>IT</c:v>
                      </c:pt>
                      <c:pt idx="17">
                        <c:v>LT</c:v>
                      </c:pt>
                      <c:pt idx="18">
                        <c:v>LU</c:v>
                      </c:pt>
                      <c:pt idx="19">
                        <c:v>LV</c:v>
                      </c:pt>
                      <c:pt idx="20">
                        <c:v>MT</c:v>
                      </c:pt>
                      <c:pt idx="21">
                        <c:v>NL</c:v>
                      </c:pt>
                      <c:pt idx="22">
                        <c:v>NO</c:v>
                      </c:pt>
                      <c:pt idx="23">
                        <c:v>PL</c:v>
                      </c:pt>
                      <c:pt idx="24">
                        <c:v>PT</c:v>
                      </c:pt>
                      <c:pt idx="25">
                        <c:v>RO</c:v>
                      </c:pt>
                      <c:pt idx="26">
                        <c:v>SE</c:v>
                      </c:pt>
                      <c:pt idx="27">
                        <c:v>SI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'Graphs per CBs'!$D$60:$AE$60</c15:sqref>
                        </c15:formulaRef>
                      </c:ext>
                    </c:extLst>
                    <c:numCache>
                      <c:formatCode>General</c:formatCode>
                      <c:ptCount val="2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5F60-4442-8899-AFC680B886D1}"/>
                  </c:ext>
                </c:extLst>
              </c15:ser>
            </c15:filteredBarSeries>
          </c:ext>
        </c:extLst>
      </c:barChart>
      <c:catAx>
        <c:axId val="712239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2240160"/>
        <c:crosses val="autoZero"/>
        <c:auto val="1"/>
        <c:lblAlgn val="ctr"/>
        <c:lblOffset val="100"/>
        <c:noMultiLvlLbl val="0"/>
      </c:catAx>
      <c:valAx>
        <c:axId val="71224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2239832"/>
        <c:crosses val="autoZero"/>
        <c:crossBetween val="between"/>
        <c:majorUnit val="1000"/>
        <c:min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62324766192212"/>
          <c:y val="0.66381365671527015"/>
          <c:w val="0.73898058106933528"/>
          <c:h val="0.327899133059568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6B148"/>
            </a:solidFill>
            <a:ln>
              <a:noFill/>
            </a:ln>
            <a:effectLst/>
          </c:spPr>
          <c:invertIfNegative val="0"/>
          <c:dLbls>
            <c:dLbl>
              <c:idx val="17"/>
              <c:layout>
                <c:manualLayout>
                  <c:x val="-6.7405611604823974E-17"/>
                  <c:y val="2.15736059382283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32-423D-9236-88E94D87156C}"/>
                </c:ext>
              </c:extLst>
            </c:dLbl>
            <c:dLbl>
              <c:idx val="19"/>
              <c:layout>
                <c:manualLayout>
                  <c:x val="0"/>
                  <c:y val="-2.91551874536795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32-423D-9236-88E94D87156C}"/>
                </c:ext>
              </c:extLst>
            </c:dLbl>
            <c:dLbl>
              <c:idx val="21"/>
              <c:layout>
                <c:manualLayout>
                  <c:x val="0"/>
                  <c:y val="-9.25002255982803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32-423D-9236-88E94D8715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'Graphs per CBs'!$C$71:$AE$71</c:f>
              <c:strCache>
                <c:ptCount val="29"/>
                <c:pt idx="0">
                  <c:v>AT</c:v>
                </c:pt>
                <c:pt idx="1">
                  <c:v>BE</c:v>
                </c:pt>
                <c:pt idx="2">
                  <c:v>BG</c:v>
                </c:pt>
                <c:pt idx="3">
                  <c:v>CY</c:v>
                </c:pt>
                <c:pt idx="4">
                  <c:v>CZ</c:v>
                </c:pt>
                <c:pt idx="5">
                  <c:v>DE</c:v>
                </c:pt>
                <c:pt idx="6">
                  <c:v>DK</c:v>
                </c:pt>
                <c:pt idx="7">
                  <c:v>EE</c:v>
                </c:pt>
                <c:pt idx="8">
                  <c:v>EL</c:v>
                </c:pt>
                <c:pt idx="9">
                  <c:v>ES</c:v>
                </c:pt>
                <c:pt idx="10">
                  <c:v>FI</c:v>
                </c:pt>
                <c:pt idx="11">
                  <c:v>FR</c:v>
                </c:pt>
                <c:pt idx="12">
                  <c:v>HR</c:v>
                </c:pt>
                <c:pt idx="13">
                  <c:v>HU</c:v>
                </c:pt>
                <c:pt idx="14">
                  <c:v>IE</c:v>
                </c:pt>
                <c:pt idx="15">
                  <c:v>IS</c:v>
                </c:pt>
                <c:pt idx="16">
                  <c:v>IT</c:v>
                </c:pt>
                <c:pt idx="17">
                  <c:v>LT</c:v>
                </c:pt>
                <c:pt idx="18">
                  <c:v>LU</c:v>
                </c:pt>
                <c:pt idx="19">
                  <c:v>LV</c:v>
                </c:pt>
                <c:pt idx="20">
                  <c:v>MT</c:v>
                </c:pt>
                <c:pt idx="21">
                  <c:v>NL</c:v>
                </c:pt>
                <c:pt idx="22">
                  <c:v>NO</c:v>
                </c:pt>
                <c:pt idx="23">
                  <c:v>PL</c:v>
                </c:pt>
                <c:pt idx="24">
                  <c:v>PT</c:v>
                </c:pt>
                <c:pt idx="25">
                  <c:v>RO</c:v>
                </c:pt>
                <c:pt idx="26">
                  <c:v>SE</c:v>
                </c:pt>
                <c:pt idx="27">
                  <c:v>SI</c:v>
                </c:pt>
                <c:pt idx="28">
                  <c:v>SK</c:v>
                </c:pt>
              </c:strCache>
            </c:strRef>
          </c:cat>
          <c:val>
            <c:numRef>
              <c:f>'Graphs per CBs'!$C$72:$AE$72</c:f>
              <c:numCache>
                <c:formatCode>General</c:formatCode>
                <c:ptCount val="29"/>
                <c:pt idx="0">
                  <c:v>19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35</c:v>
                </c:pt>
                <c:pt idx="6">
                  <c:v>14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-1</c:v>
                </c:pt>
                <c:pt idx="11">
                  <c:v>46</c:v>
                </c:pt>
                <c:pt idx="12">
                  <c:v>4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51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8</c:v>
                </c:pt>
                <c:pt idx="22">
                  <c:v>0</c:v>
                </c:pt>
                <c:pt idx="23">
                  <c:v>4</c:v>
                </c:pt>
                <c:pt idx="24">
                  <c:v>-1</c:v>
                </c:pt>
                <c:pt idx="25">
                  <c:v>13</c:v>
                </c:pt>
                <c:pt idx="26">
                  <c:v>0</c:v>
                </c:pt>
                <c:pt idx="27">
                  <c:v>26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32-423D-9236-88E94D8715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12314944"/>
        <c:axId val="712310024"/>
      </c:barChart>
      <c:catAx>
        <c:axId val="71231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31639B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2310024"/>
        <c:crosses val="autoZero"/>
        <c:auto val="1"/>
        <c:lblAlgn val="ctr"/>
        <c:lblOffset val="100"/>
        <c:noMultiLvlLbl val="0"/>
      </c:catAx>
      <c:valAx>
        <c:axId val="712310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23149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2</xdr:col>
      <xdr:colOff>0</xdr:colOff>
      <xdr:row>21</xdr:row>
      <xdr:rowOff>0</xdr:rowOff>
    </xdr:to>
    <xdr:cxnSp macro="">
      <xdr:nvCxnSpPr>
        <xdr:cNvPr id="56" name="Straight Connector 63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CxnSpPr/>
      </xdr:nvCxnSpPr>
      <xdr:spPr>
        <a:xfrm>
          <a:off x="2863850" y="149269450"/>
          <a:ext cx="37401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21</xdr:row>
      <xdr:rowOff>0</xdr:rowOff>
    </xdr:to>
    <xdr:cxnSp macro="">
      <xdr:nvCxnSpPr>
        <xdr:cNvPr id="57" name="Straight Connector 64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>
          <a:off x="2863850" y="149269450"/>
          <a:ext cx="37401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21</xdr:row>
      <xdr:rowOff>0</xdr:rowOff>
    </xdr:to>
    <xdr:cxnSp macro="">
      <xdr:nvCxnSpPr>
        <xdr:cNvPr id="104" name="Straight Connector 17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CxnSpPr/>
      </xdr:nvCxnSpPr>
      <xdr:spPr>
        <a:xfrm>
          <a:off x="2733799" y="35081688"/>
          <a:ext cx="357496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21</xdr:row>
      <xdr:rowOff>0</xdr:rowOff>
    </xdr:to>
    <xdr:cxnSp macro="">
      <xdr:nvCxnSpPr>
        <xdr:cNvPr id="105" name="Straight Connector 18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CxnSpPr/>
      </xdr:nvCxnSpPr>
      <xdr:spPr>
        <a:xfrm>
          <a:off x="2733799" y="35081688"/>
          <a:ext cx="357496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21</xdr:row>
      <xdr:rowOff>0</xdr:rowOff>
    </xdr:to>
    <xdr:cxnSp macro="">
      <xdr:nvCxnSpPr>
        <xdr:cNvPr id="264" name="Straight Connector 9">
          <a:extLst>
            <a:ext uri="{FF2B5EF4-FFF2-40B4-BE49-F238E27FC236}">
              <a16:creationId xmlns:a16="http://schemas.microsoft.com/office/drawing/2014/main" id="{C2D5EA45-1505-4832-8F04-DECA892DDA15}"/>
            </a:ext>
          </a:extLst>
        </xdr:cNvPr>
        <xdr:cNvCxnSpPr/>
      </xdr:nvCxnSpPr>
      <xdr:spPr>
        <a:xfrm>
          <a:off x="2857500" y="10774383"/>
          <a:ext cx="374814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21</xdr:row>
      <xdr:rowOff>0</xdr:rowOff>
    </xdr:to>
    <xdr:cxnSp macro="">
      <xdr:nvCxnSpPr>
        <xdr:cNvPr id="265" name="Straight Connector 10">
          <a:extLst>
            <a:ext uri="{FF2B5EF4-FFF2-40B4-BE49-F238E27FC236}">
              <a16:creationId xmlns:a16="http://schemas.microsoft.com/office/drawing/2014/main" id="{E7CD7D7A-06B2-4D5D-88A9-400B53C399F5}"/>
            </a:ext>
          </a:extLst>
        </xdr:cNvPr>
        <xdr:cNvCxnSpPr/>
      </xdr:nvCxnSpPr>
      <xdr:spPr>
        <a:xfrm>
          <a:off x="2857500" y="10774383"/>
          <a:ext cx="374814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21</xdr:row>
      <xdr:rowOff>0</xdr:rowOff>
    </xdr:to>
    <xdr:cxnSp macro="">
      <xdr:nvCxnSpPr>
        <xdr:cNvPr id="266" name="Straight Connector 7">
          <a:extLst>
            <a:ext uri="{FF2B5EF4-FFF2-40B4-BE49-F238E27FC236}">
              <a16:creationId xmlns:a16="http://schemas.microsoft.com/office/drawing/2014/main" id="{C839DE48-8E12-428A-B5CF-3AF5FCC11D9A}"/>
            </a:ext>
          </a:extLst>
        </xdr:cNvPr>
        <xdr:cNvCxnSpPr/>
      </xdr:nvCxnSpPr>
      <xdr:spPr>
        <a:xfrm>
          <a:off x="2857500" y="10774383"/>
          <a:ext cx="374814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21</xdr:row>
      <xdr:rowOff>0</xdr:rowOff>
    </xdr:to>
    <xdr:cxnSp macro="">
      <xdr:nvCxnSpPr>
        <xdr:cNvPr id="267" name="Straight Connector 8">
          <a:extLst>
            <a:ext uri="{FF2B5EF4-FFF2-40B4-BE49-F238E27FC236}">
              <a16:creationId xmlns:a16="http://schemas.microsoft.com/office/drawing/2014/main" id="{55DCF3A7-D0D6-4152-BA53-5D12846A82E6}"/>
            </a:ext>
          </a:extLst>
        </xdr:cNvPr>
        <xdr:cNvCxnSpPr/>
      </xdr:nvCxnSpPr>
      <xdr:spPr>
        <a:xfrm>
          <a:off x="2857500" y="10774383"/>
          <a:ext cx="374814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21</xdr:row>
      <xdr:rowOff>0</xdr:rowOff>
    </xdr:to>
    <xdr:cxnSp macro="">
      <xdr:nvCxnSpPr>
        <xdr:cNvPr id="268" name="Straight Connector 7">
          <a:extLst>
            <a:ext uri="{FF2B5EF4-FFF2-40B4-BE49-F238E27FC236}">
              <a16:creationId xmlns:a16="http://schemas.microsoft.com/office/drawing/2014/main" id="{FFD02498-0D65-4635-9D3B-DFD1EE6B119C}"/>
            </a:ext>
          </a:extLst>
        </xdr:cNvPr>
        <xdr:cNvCxnSpPr/>
      </xdr:nvCxnSpPr>
      <xdr:spPr>
        <a:xfrm>
          <a:off x="2857500" y="10774383"/>
          <a:ext cx="374814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21</xdr:row>
      <xdr:rowOff>0</xdr:rowOff>
    </xdr:to>
    <xdr:cxnSp macro="">
      <xdr:nvCxnSpPr>
        <xdr:cNvPr id="269" name="Straight Connector 8">
          <a:extLst>
            <a:ext uri="{FF2B5EF4-FFF2-40B4-BE49-F238E27FC236}">
              <a16:creationId xmlns:a16="http://schemas.microsoft.com/office/drawing/2014/main" id="{F6025584-A7D2-475B-AC80-8D1F1579B9D0}"/>
            </a:ext>
          </a:extLst>
        </xdr:cNvPr>
        <xdr:cNvCxnSpPr/>
      </xdr:nvCxnSpPr>
      <xdr:spPr>
        <a:xfrm>
          <a:off x="2857500" y="10774383"/>
          <a:ext cx="374814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21</xdr:row>
      <xdr:rowOff>0</xdr:rowOff>
    </xdr:to>
    <xdr:cxnSp macro="">
      <xdr:nvCxnSpPr>
        <xdr:cNvPr id="334" name="Straight Connector 7">
          <a:extLst>
            <a:ext uri="{FF2B5EF4-FFF2-40B4-BE49-F238E27FC236}">
              <a16:creationId xmlns:a16="http://schemas.microsoft.com/office/drawing/2014/main" id="{FA88158B-C2B3-4542-A0EE-36F26FC51982}"/>
            </a:ext>
          </a:extLst>
        </xdr:cNvPr>
        <xdr:cNvCxnSpPr/>
      </xdr:nvCxnSpPr>
      <xdr:spPr>
        <a:xfrm>
          <a:off x="2738438" y="4702969"/>
          <a:ext cx="35718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21</xdr:row>
      <xdr:rowOff>0</xdr:rowOff>
    </xdr:to>
    <xdr:cxnSp macro="">
      <xdr:nvCxnSpPr>
        <xdr:cNvPr id="335" name="Straight Connector 8">
          <a:extLst>
            <a:ext uri="{FF2B5EF4-FFF2-40B4-BE49-F238E27FC236}">
              <a16:creationId xmlns:a16="http://schemas.microsoft.com/office/drawing/2014/main" id="{398D6582-C0F6-4DD2-A8EF-C16F0759065E}"/>
            </a:ext>
          </a:extLst>
        </xdr:cNvPr>
        <xdr:cNvCxnSpPr/>
      </xdr:nvCxnSpPr>
      <xdr:spPr>
        <a:xfrm>
          <a:off x="2738438" y="4702969"/>
          <a:ext cx="35718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510264</xdr:colOff>
      <xdr:row>1</xdr:row>
      <xdr:rowOff>43541</xdr:rowOff>
    </xdr:from>
    <xdr:to>
      <xdr:col>15</xdr:col>
      <xdr:colOff>721177</xdr:colOff>
      <xdr:row>16</xdr:row>
      <xdr:rowOff>68035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334173-169A-4BF8-A1B0-F32BC1BAF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578303</xdr:colOff>
      <xdr:row>16</xdr:row>
      <xdr:rowOff>329291</xdr:rowOff>
    </xdr:from>
    <xdr:to>
      <xdr:col>15</xdr:col>
      <xdr:colOff>693965</xdr:colOff>
      <xdr:row>31</xdr:row>
      <xdr:rowOff>108856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AA12BF5-0D57-47C5-8ED0-F28BEC65E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621032</xdr:colOff>
      <xdr:row>0</xdr:row>
      <xdr:rowOff>0</xdr:rowOff>
    </xdr:from>
    <xdr:to>
      <xdr:col>24</xdr:col>
      <xdr:colOff>397566</xdr:colOff>
      <xdr:row>28</xdr:row>
      <xdr:rowOff>11430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09B7C53-B92B-47E0-9302-5C8F6B3CDE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109221</xdr:colOff>
      <xdr:row>28</xdr:row>
      <xdr:rowOff>140125</xdr:rowOff>
    </xdr:from>
    <xdr:to>
      <xdr:col>26</xdr:col>
      <xdr:colOff>470322</xdr:colOff>
      <xdr:row>61</xdr:row>
      <xdr:rowOff>172720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4F5DA98-54B9-4907-9FC5-D8650BA5C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411479</xdr:colOff>
      <xdr:row>74</xdr:row>
      <xdr:rowOff>159065</xdr:rowOff>
    </xdr:from>
    <xdr:to>
      <xdr:col>15</xdr:col>
      <xdr:colOff>259079</xdr:colOff>
      <xdr:row>97</xdr:row>
      <xdr:rowOff>83819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D3B9788-C0DD-4772-9981-56750868D1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filer001\DDD\1_Clients\CE\2004-18%20CE%20EU%20Ecolabel%20HD\To%20be%20merged\MASTER_Helpdesk_contact%20&amp;%20social%20media_lis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LA\MS\MS%20598%20EC%20EU%20Ecolabel%20Helpdesk%202023-2027\Konzept%20&amp;%20Planung\Task%201%20-\Task%201.2%20Figures\Figures%202024%20September\CB_figures%20SEP%202024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_Internal Contacts"/>
      <sheetName val="LH_Social media &amp; websites"/>
      <sheetName val="Websites"/>
      <sheetName val="LH_Contact list_March2017"/>
      <sheetName val="TA_Contact list_March2017"/>
      <sheetName val="Retailers_Contacts"/>
      <sheetName val="RoC_ stakeholder list"/>
      <sheetName val="Logo_Publication_Tracking_Sheet"/>
      <sheetName val="LH dropdown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Absorbent Hygiene Products</v>
          </cell>
        </row>
        <row r="2">
          <cell r="A2" t="str">
            <v>All-Purpose Cleaners and Sanitary Cleaners</v>
          </cell>
        </row>
        <row r="3">
          <cell r="A3" t="str">
            <v>Bed Mattresses</v>
          </cell>
        </row>
        <row r="4">
          <cell r="A4" t="str">
            <v>Campsite Services</v>
          </cell>
        </row>
        <row r="5">
          <cell r="A5" t="str">
            <v>Converted Paper</v>
          </cell>
        </row>
        <row r="6">
          <cell r="A6" t="str">
            <v>Copying and Graphic Paper</v>
          </cell>
        </row>
        <row r="7">
          <cell r="A7" t="str">
            <v>Detergents for Dishwashers</v>
          </cell>
        </row>
        <row r="8">
          <cell r="A8" t="str">
            <v>Flushing Toilets and Urinals</v>
          </cell>
        </row>
        <row r="9">
          <cell r="A9" t="str">
            <v>Footwear</v>
          </cell>
        </row>
        <row r="10">
          <cell r="A10" t="str">
            <v>Growing Media</v>
          </cell>
        </row>
        <row r="11">
          <cell r="A11" t="str">
            <v>Soil Improvers</v>
          </cell>
        </row>
        <row r="12">
          <cell r="A12" t="str">
            <v>Growing Media, Soil Improvers, and Mulch</v>
          </cell>
        </row>
        <row r="13">
          <cell r="A13" t="str">
            <v>Hand-Washing Detergents</v>
          </cell>
        </row>
        <row r="14">
          <cell r="A14" t="str">
            <v>Hard Coverings</v>
          </cell>
        </row>
        <row r="15">
          <cell r="A15" t="str">
            <v>Heat Pumps</v>
          </cell>
        </row>
        <row r="16">
          <cell r="A16" t="str">
            <v>Imaging Equipment</v>
          </cell>
        </row>
        <row r="17">
          <cell r="A17" t="str">
            <v>Industrial and Institutional Automatic Dishwasher Detergents</v>
          </cell>
        </row>
        <row r="18">
          <cell r="A18" t="str">
            <v>Industrial and Institutional Laundry Detergents</v>
          </cell>
        </row>
        <row r="19">
          <cell r="A19" t="str">
            <v>Laundry Detergents</v>
          </cell>
        </row>
        <row r="20">
          <cell r="A20" t="str">
            <v>Light Sources</v>
          </cell>
        </row>
        <row r="21">
          <cell r="A21" t="str">
            <v>Lubricants</v>
          </cell>
        </row>
        <row r="22">
          <cell r="A22" t="str">
            <v>Newsprint Paper</v>
          </cell>
        </row>
        <row r="23">
          <cell r="A23" t="str">
            <v>Paints and Varnishes</v>
          </cell>
        </row>
        <row r="24">
          <cell r="A24" t="str">
            <v>Personal Computers</v>
          </cell>
        </row>
        <row r="25">
          <cell r="A25" t="str">
            <v>Printed Paper</v>
          </cell>
        </row>
        <row r="26">
          <cell r="A26" t="str">
            <v>Retailer</v>
          </cell>
        </row>
        <row r="27">
          <cell r="A27" t="str">
            <v>Rinse-off Cosmetic Products</v>
          </cell>
        </row>
        <row r="28">
          <cell r="A28" t="str">
            <v>Sanitary Tapware</v>
          </cell>
        </row>
        <row r="29">
          <cell r="A29" t="str">
            <v>Televisions</v>
          </cell>
        </row>
        <row r="30">
          <cell r="A30" t="str">
            <v>Textile Floor Coverings</v>
          </cell>
        </row>
        <row r="31">
          <cell r="A31" t="str">
            <v>Textiles</v>
          </cell>
        </row>
        <row r="32">
          <cell r="A32" t="str">
            <v>Tissue Paper</v>
          </cell>
        </row>
        <row r="33">
          <cell r="A33" t="str">
            <v>Tourist Accommodation Services</v>
          </cell>
        </row>
        <row r="34">
          <cell r="A34" t="str">
            <v>Water-based Heaters</v>
          </cell>
        </row>
        <row r="35">
          <cell r="A35" t="str">
            <v>Wooden Floor Coverings</v>
          </cell>
        </row>
        <row r="36">
          <cell r="A36" t="str">
            <v>Wooden Furniture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low up countries"/>
      <sheetName val="1 RawCompil CB September 2024"/>
      <sheetName val="A_BackendPGCompil_September2024"/>
      <sheetName val="A_BackendPGCompil_March2024"/>
      <sheetName val="2 A_PG Comparison n-1;n"/>
      <sheetName val="Outside of EU"/>
      <sheetName val="Graphs per CBs"/>
      <sheetName val="ECAT Statistics Mar24"/>
      <sheetName val="A_ECAT Comparison"/>
      <sheetName val="LicencesSep24"/>
      <sheetName val="ProductsMar24"/>
    </sheetNames>
    <sheetDataSet>
      <sheetData sheetId="0"/>
      <sheetData sheetId="1">
        <row r="4">
          <cell r="F4">
            <v>40</v>
          </cell>
        </row>
        <row r="9">
          <cell r="F9">
            <v>184</v>
          </cell>
        </row>
        <row r="10">
          <cell r="F10">
            <v>23</v>
          </cell>
        </row>
        <row r="11">
          <cell r="F11">
            <v>37</v>
          </cell>
        </row>
        <row r="12">
          <cell r="F12">
            <v>31</v>
          </cell>
        </row>
        <row r="13">
          <cell r="F13">
            <v>13</v>
          </cell>
        </row>
        <row r="14">
          <cell r="F14">
            <v>11</v>
          </cell>
        </row>
        <row r="15">
          <cell r="F15">
            <v>2</v>
          </cell>
        </row>
        <row r="16">
          <cell r="F16">
            <v>52</v>
          </cell>
        </row>
        <row r="20">
          <cell r="F20">
            <v>3</v>
          </cell>
        </row>
        <row r="22">
          <cell r="F22">
            <v>48</v>
          </cell>
        </row>
        <row r="23">
          <cell r="F23">
            <v>23</v>
          </cell>
        </row>
        <row r="25">
          <cell r="F25">
            <v>4</v>
          </cell>
        </row>
        <row r="26">
          <cell r="F26">
            <v>127</v>
          </cell>
        </row>
        <row r="27">
          <cell r="F27">
            <v>10</v>
          </cell>
        </row>
        <row r="28">
          <cell r="F28">
            <v>310</v>
          </cell>
        </row>
        <row r="29">
          <cell r="F29">
            <v>182</v>
          </cell>
        </row>
        <row r="33">
          <cell r="F33">
            <v>14</v>
          </cell>
        </row>
        <row r="38">
          <cell r="F38">
            <v>855</v>
          </cell>
        </row>
        <row r="39">
          <cell r="F39">
            <v>28</v>
          </cell>
        </row>
        <row r="40">
          <cell r="F40">
            <v>240</v>
          </cell>
        </row>
        <row r="41">
          <cell r="F41">
            <v>173</v>
          </cell>
        </row>
        <row r="42">
          <cell r="F42">
            <v>184</v>
          </cell>
        </row>
        <row r="43">
          <cell r="F43">
            <v>196</v>
          </cell>
        </row>
        <row r="45">
          <cell r="F45">
            <v>1</v>
          </cell>
        </row>
        <row r="47">
          <cell r="F47">
            <v>1305</v>
          </cell>
        </row>
        <row r="53">
          <cell r="F53">
            <v>3</v>
          </cell>
        </row>
        <row r="54">
          <cell r="F54">
            <v>36</v>
          </cell>
        </row>
        <row r="55">
          <cell r="F55">
            <v>608</v>
          </cell>
        </row>
        <row r="56">
          <cell r="F56">
            <v>253</v>
          </cell>
        </row>
        <row r="57">
          <cell r="F57">
            <v>49</v>
          </cell>
        </row>
        <row r="58">
          <cell r="F58">
            <v>2</v>
          </cell>
        </row>
        <row r="62">
          <cell r="F62">
            <v>1</v>
          </cell>
        </row>
        <row r="67">
          <cell r="F67">
            <v>9</v>
          </cell>
        </row>
        <row r="70">
          <cell r="F70">
            <v>3</v>
          </cell>
        </row>
        <row r="71">
          <cell r="F71">
            <v>7</v>
          </cell>
        </row>
        <row r="74">
          <cell r="F74">
            <v>7</v>
          </cell>
        </row>
        <row r="85">
          <cell r="F85">
            <v>79</v>
          </cell>
        </row>
        <row r="91">
          <cell r="F91">
            <v>2</v>
          </cell>
        </row>
        <row r="96">
          <cell r="F96">
            <v>15</v>
          </cell>
        </row>
        <row r="98">
          <cell r="F98">
            <v>2</v>
          </cell>
        </row>
        <row r="99">
          <cell r="F99">
            <v>3</v>
          </cell>
        </row>
        <row r="100">
          <cell r="F100">
            <v>1</v>
          </cell>
        </row>
        <row r="102">
          <cell r="F102">
            <v>1</v>
          </cell>
        </row>
        <row r="114">
          <cell r="F114">
            <v>23</v>
          </cell>
        </row>
        <row r="116">
          <cell r="F116">
            <v>10</v>
          </cell>
        </row>
        <row r="134">
          <cell r="F134">
            <v>84</v>
          </cell>
        </row>
        <row r="149">
          <cell r="F149">
            <v>0</v>
          </cell>
        </row>
        <row r="150">
          <cell r="F150">
            <v>197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21</v>
          </cell>
        </row>
        <row r="155">
          <cell r="F155">
            <v>2</v>
          </cell>
        </row>
        <row r="156">
          <cell r="F156">
            <v>0</v>
          </cell>
        </row>
        <row r="157">
          <cell r="F157">
            <v>10</v>
          </cell>
        </row>
        <row r="158">
          <cell r="F158">
            <v>6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31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5">
          <cell r="F165">
            <v>0</v>
          </cell>
        </row>
        <row r="166">
          <cell r="F166">
            <v>4981</v>
          </cell>
        </row>
        <row r="167">
          <cell r="F167">
            <v>8</v>
          </cell>
        </row>
        <row r="168">
          <cell r="F168">
            <v>0</v>
          </cell>
        </row>
        <row r="169">
          <cell r="F169">
            <v>0</v>
          </cell>
        </row>
        <row r="170">
          <cell r="F170">
            <v>13</v>
          </cell>
        </row>
        <row r="171">
          <cell r="F171">
            <v>79</v>
          </cell>
        </row>
        <row r="172">
          <cell r="F172">
            <v>28</v>
          </cell>
        </row>
        <row r="173">
          <cell r="F173">
            <v>16</v>
          </cell>
        </row>
        <row r="174">
          <cell r="F174">
            <v>4</v>
          </cell>
        </row>
        <row r="178">
          <cell r="F178">
            <v>41</v>
          </cell>
        </row>
        <row r="179">
          <cell r="F179">
            <v>147</v>
          </cell>
        </row>
        <row r="181">
          <cell r="F181">
            <v>0</v>
          </cell>
        </row>
        <row r="182">
          <cell r="F182">
            <v>0</v>
          </cell>
        </row>
        <row r="183">
          <cell r="F183">
            <v>239</v>
          </cell>
        </row>
        <row r="184">
          <cell r="F184">
            <v>158</v>
          </cell>
        </row>
        <row r="185">
          <cell r="F185">
            <v>0</v>
          </cell>
        </row>
        <row r="186">
          <cell r="F186">
            <v>42</v>
          </cell>
        </row>
        <row r="187">
          <cell r="F187">
            <v>110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2190</v>
          </cell>
        </row>
        <row r="191">
          <cell r="F191">
            <v>0</v>
          </cell>
        </row>
        <row r="192">
          <cell r="F192">
            <v>666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2420</v>
          </cell>
        </row>
        <row r="197">
          <cell r="F197">
            <v>0</v>
          </cell>
        </row>
        <row r="198">
          <cell r="F198">
            <v>3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2</v>
          </cell>
        </row>
        <row r="202">
          <cell r="F202">
            <v>1</v>
          </cell>
        </row>
        <row r="203">
          <cell r="F203">
            <v>2</v>
          </cell>
        </row>
        <row r="207">
          <cell r="F207">
            <v>151</v>
          </cell>
        </row>
        <row r="212">
          <cell r="F212">
            <v>171</v>
          </cell>
        </row>
        <row r="213">
          <cell r="F213">
            <v>28</v>
          </cell>
        </row>
        <row r="214">
          <cell r="F214">
            <v>22</v>
          </cell>
        </row>
        <row r="215">
          <cell r="F215">
            <v>65</v>
          </cell>
        </row>
        <row r="216">
          <cell r="F216">
            <v>347</v>
          </cell>
        </row>
        <row r="221">
          <cell r="F221">
            <v>1005</v>
          </cell>
        </row>
        <row r="237">
          <cell r="F237">
            <v>10</v>
          </cell>
        </row>
        <row r="241">
          <cell r="F241">
            <v>123</v>
          </cell>
        </row>
        <row r="249">
          <cell r="F249">
            <v>48</v>
          </cell>
        </row>
        <row r="250">
          <cell r="F250">
            <v>1913</v>
          </cell>
        </row>
        <row r="254">
          <cell r="F254">
            <v>1</v>
          </cell>
        </row>
        <row r="257">
          <cell r="F257">
            <v>4</v>
          </cell>
        </row>
        <row r="258">
          <cell r="F258">
            <v>302</v>
          </cell>
        </row>
        <row r="261">
          <cell r="F261">
            <v>1</v>
          </cell>
        </row>
        <row r="265">
          <cell r="F265">
            <v>87</v>
          </cell>
        </row>
        <row r="266">
          <cell r="F266">
            <v>0</v>
          </cell>
        </row>
        <row r="267">
          <cell r="F267">
            <v>36</v>
          </cell>
        </row>
        <row r="268">
          <cell r="F268">
            <v>0</v>
          </cell>
        </row>
        <row r="269">
          <cell r="F269">
            <v>0</v>
          </cell>
        </row>
        <row r="270">
          <cell r="F270">
            <v>683</v>
          </cell>
        </row>
        <row r="271">
          <cell r="F271">
            <v>55</v>
          </cell>
        </row>
        <row r="272">
          <cell r="F272">
            <v>248</v>
          </cell>
        </row>
        <row r="273">
          <cell r="F273">
            <v>137</v>
          </cell>
        </row>
        <row r="274">
          <cell r="F274">
            <v>76</v>
          </cell>
        </row>
        <row r="275">
          <cell r="F275">
            <v>72</v>
          </cell>
        </row>
        <row r="276">
          <cell r="F276">
            <v>9</v>
          </cell>
        </row>
        <row r="277">
          <cell r="F277">
            <v>0</v>
          </cell>
        </row>
        <row r="278">
          <cell r="F278">
            <v>0</v>
          </cell>
        </row>
        <row r="279">
          <cell r="F279">
            <v>9444</v>
          </cell>
        </row>
        <row r="280">
          <cell r="F280">
            <v>0</v>
          </cell>
        </row>
        <row r="281">
          <cell r="F281">
            <v>0</v>
          </cell>
        </row>
        <row r="282">
          <cell r="F282">
            <v>0</v>
          </cell>
        </row>
        <row r="283">
          <cell r="F283">
            <v>0</v>
          </cell>
        </row>
        <row r="284">
          <cell r="F284">
            <v>0</v>
          </cell>
        </row>
        <row r="285">
          <cell r="F285">
            <v>71</v>
          </cell>
        </row>
        <row r="286">
          <cell r="F286">
            <v>82</v>
          </cell>
        </row>
        <row r="287">
          <cell r="F287">
            <v>228</v>
          </cell>
        </row>
        <row r="288">
          <cell r="F288">
            <v>856</v>
          </cell>
        </row>
        <row r="289">
          <cell r="F289">
            <v>117</v>
          </cell>
        </row>
        <row r="290">
          <cell r="F290">
            <v>338</v>
          </cell>
        </row>
        <row r="294">
          <cell r="F294">
            <v>100</v>
          </cell>
        </row>
        <row r="295">
          <cell r="F295">
            <v>16</v>
          </cell>
        </row>
        <row r="296">
          <cell r="F296">
            <v>0</v>
          </cell>
        </row>
        <row r="297">
          <cell r="F297">
            <v>0</v>
          </cell>
        </row>
        <row r="298">
          <cell r="F298">
            <v>0</v>
          </cell>
        </row>
        <row r="299">
          <cell r="F299">
            <v>1030</v>
          </cell>
        </row>
        <row r="300">
          <cell r="F300">
            <v>22</v>
          </cell>
        </row>
        <row r="301">
          <cell r="F301">
            <v>322</v>
          </cell>
        </row>
        <row r="302">
          <cell r="F302">
            <v>207</v>
          </cell>
        </row>
        <row r="303">
          <cell r="F303">
            <v>115</v>
          </cell>
        </row>
        <row r="304">
          <cell r="F304">
            <v>225</v>
          </cell>
        </row>
        <row r="305">
          <cell r="F305">
            <v>0</v>
          </cell>
        </row>
        <row r="306">
          <cell r="F306">
            <v>21</v>
          </cell>
        </row>
        <row r="307">
          <cell r="F307">
            <v>0</v>
          </cell>
        </row>
        <row r="308">
          <cell r="F308">
            <v>6075</v>
          </cell>
        </row>
        <row r="309">
          <cell r="F309">
            <v>0</v>
          </cell>
        </row>
        <row r="310">
          <cell r="F310">
            <v>465</v>
          </cell>
        </row>
        <row r="311">
          <cell r="F311">
            <v>0</v>
          </cell>
        </row>
        <row r="312">
          <cell r="F312">
            <v>2</v>
          </cell>
        </row>
        <row r="313">
          <cell r="F313">
            <v>0</v>
          </cell>
        </row>
        <row r="314">
          <cell r="F314">
            <v>0</v>
          </cell>
        </row>
        <row r="315">
          <cell r="F315">
            <v>152</v>
          </cell>
        </row>
        <row r="316">
          <cell r="F316">
            <v>130</v>
          </cell>
        </row>
        <row r="317">
          <cell r="F317">
            <v>855</v>
          </cell>
        </row>
        <row r="318">
          <cell r="F318">
            <v>39</v>
          </cell>
        </row>
        <row r="319">
          <cell r="F319">
            <v>22</v>
          </cell>
        </row>
        <row r="328">
          <cell r="F328">
            <v>6</v>
          </cell>
        </row>
        <row r="331">
          <cell r="F331">
            <v>2</v>
          </cell>
        </row>
        <row r="337">
          <cell r="F337">
            <v>4606</v>
          </cell>
        </row>
        <row r="357">
          <cell r="F357">
            <v>44</v>
          </cell>
        </row>
        <row r="360">
          <cell r="F360">
            <v>4</v>
          </cell>
        </row>
        <row r="361">
          <cell r="F361">
            <v>8</v>
          </cell>
        </row>
        <row r="375">
          <cell r="F375">
            <v>25</v>
          </cell>
        </row>
        <row r="376">
          <cell r="F376">
            <v>1</v>
          </cell>
        </row>
        <row r="410">
          <cell r="F410">
            <v>34</v>
          </cell>
        </row>
        <row r="415">
          <cell r="F415">
            <v>42</v>
          </cell>
        </row>
        <row r="418">
          <cell r="F418">
            <v>17</v>
          </cell>
        </row>
        <row r="419">
          <cell r="F419">
            <v>11</v>
          </cell>
        </row>
        <row r="421">
          <cell r="F421">
            <v>1</v>
          </cell>
        </row>
        <row r="431">
          <cell r="F431">
            <v>6</v>
          </cell>
        </row>
        <row r="433">
          <cell r="F433">
            <v>37</v>
          </cell>
        </row>
        <row r="439">
          <cell r="F439">
            <v>393</v>
          </cell>
        </row>
        <row r="440">
          <cell r="F440">
            <v>43</v>
          </cell>
        </row>
        <row r="441">
          <cell r="F441">
            <v>0</v>
          </cell>
        </row>
        <row r="442">
          <cell r="F442">
            <v>0</v>
          </cell>
        </row>
        <row r="443">
          <cell r="F443">
            <v>0</v>
          </cell>
        </row>
        <row r="444">
          <cell r="F444">
            <v>2298</v>
          </cell>
        </row>
        <row r="445">
          <cell r="F445">
            <v>69</v>
          </cell>
        </row>
        <row r="446">
          <cell r="F446">
            <v>451</v>
          </cell>
        </row>
        <row r="447">
          <cell r="F447">
            <v>323</v>
          </cell>
        </row>
        <row r="448">
          <cell r="F448">
            <v>111</v>
          </cell>
        </row>
        <row r="449">
          <cell r="F449">
            <v>174</v>
          </cell>
        </row>
        <row r="450">
          <cell r="F450">
            <v>191</v>
          </cell>
        </row>
        <row r="451">
          <cell r="F451">
            <v>3434</v>
          </cell>
        </row>
        <row r="452">
          <cell r="F452">
            <v>0</v>
          </cell>
        </row>
        <row r="453">
          <cell r="F453">
            <v>1291</v>
          </cell>
        </row>
        <row r="454">
          <cell r="F454">
            <v>0</v>
          </cell>
        </row>
        <row r="455">
          <cell r="F455">
            <v>0</v>
          </cell>
        </row>
        <row r="456">
          <cell r="F456">
            <v>0</v>
          </cell>
        </row>
        <row r="457">
          <cell r="F457">
            <v>297</v>
          </cell>
        </row>
        <row r="458">
          <cell r="F458">
            <v>0</v>
          </cell>
        </row>
        <row r="459">
          <cell r="F459">
            <v>0</v>
          </cell>
        </row>
        <row r="460">
          <cell r="F460">
            <v>33</v>
          </cell>
        </row>
        <row r="461">
          <cell r="F461">
            <v>987</v>
          </cell>
        </row>
        <row r="462">
          <cell r="F462">
            <v>5222</v>
          </cell>
        </row>
        <row r="463">
          <cell r="F463">
            <v>6</v>
          </cell>
        </row>
        <row r="464">
          <cell r="F464">
            <v>76</v>
          </cell>
        </row>
        <row r="474">
          <cell r="F474">
            <v>44</v>
          </cell>
        </row>
        <row r="477">
          <cell r="F477">
            <v>28</v>
          </cell>
        </row>
        <row r="478">
          <cell r="F478">
            <v>20</v>
          </cell>
        </row>
        <row r="503">
          <cell r="F503">
            <v>3</v>
          </cell>
        </row>
        <row r="504">
          <cell r="F504">
            <v>2</v>
          </cell>
        </row>
        <row r="506">
          <cell r="F506">
            <v>10</v>
          </cell>
        </row>
        <row r="507">
          <cell r="F507">
            <v>7</v>
          </cell>
        </row>
        <row r="512">
          <cell r="F512">
            <v>279</v>
          </cell>
        </row>
        <row r="521">
          <cell r="F521">
            <v>437</v>
          </cell>
        </row>
        <row r="522">
          <cell r="F522">
            <v>3</v>
          </cell>
        </row>
        <row r="532">
          <cell r="F532">
            <v>6</v>
          </cell>
        </row>
        <row r="541">
          <cell r="F541">
            <v>2</v>
          </cell>
        </row>
        <row r="552">
          <cell r="F552">
            <v>1</v>
          </cell>
        </row>
        <row r="561">
          <cell r="F561">
            <v>13</v>
          </cell>
        </row>
        <row r="581">
          <cell r="F581">
            <v>5</v>
          </cell>
        </row>
        <row r="585">
          <cell r="F585">
            <v>98</v>
          </cell>
        </row>
        <row r="586">
          <cell r="F586">
            <v>0</v>
          </cell>
        </row>
        <row r="587">
          <cell r="F587">
            <v>0</v>
          </cell>
        </row>
        <row r="588">
          <cell r="F588">
            <v>0</v>
          </cell>
        </row>
        <row r="589">
          <cell r="F589">
            <v>0</v>
          </cell>
        </row>
        <row r="590">
          <cell r="F590">
            <v>458</v>
          </cell>
        </row>
        <row r="591">
          <cell r="F591">
            <v>128</v>
          </cell>
        </row>
        <row r="592">
          <cell r="F592">
            <v>23</v>
          </cell>
        </row>
        <row r="593">
          <cell r="F593">
            <v>46</v>
          </cell>
        </row>
        <row r="594">
          <cell r="F594">
            <v>54</v>
          </cell>
        </row>
        <row r="595">
          <cell r="F595">
            <v>58</v>
          </cell>
        </row>
        <row r="596">
          <cell r="F596">
            <v>0</v>
          </cell>
        </row>
        <row r="597">
          <cell r="F597">
            <v>164</v>
          </cell>
        </row>
        <row r="598">
          <cell r="F598">
            <v>0</v>
          </cell>
        </row>
        <row r="599">
          <cell r="F599">
            <v>160</v>
          </cell>
        </row>
        <row r="600">
          <cell r="F600">
            <v>0</v>
          </cell>
        </row>
        <row r="601">
          <cell r="F601">
            <v>0</v>
          </cell>
        </row>
        <row r="602">
          <cell r="F602">
            <v>0</v>
          </cell>
        </row>
        <row r="603">
          <cell r="F603">
            <v>39</v>
          </cell>
        </row>
        <row r="604">
          <cell r="F604">
            <v>0</v>
          </cell>
        </row>
        <row r="605">
          <cell r="F605">
            <v>0</v>
          </cell>
        </row>
        <row r="606">
          <cell r="F606">
            <v>250</v>
          </cell>
        </row>
        <row r="607">
          <cell r="F607">
            <v>213</v>
          </cell>
        </row>
        <row r="608">
          <cell r="F608">
            <v>306</v>
          </cell>
        </row>
        <row r="609">
          <cell r="F609">
            <v>0</v>
          </cell>
        </row>
        <row r="610">
          <cell r="F610">
            <v>22</v>
          </cell>
        </row>
        <row r="626">
          <cell r="F626">
            <v>160</v>
          </cell>
        </row>
        <row r="632">
          <cell r="F632">
            <v>23</v>
          </cell>
        </row>
        <row r="636">
          <cell r="F636">
            <v>9</v>
          </cell>
        </row>
        <row r="643">
          <cell r="F643">
            <v>12</v>
          </cell>
        </row>
        <row r="648">
          <cell r="F648">
            <v>220</v>
          </cell>
        </row>
        <row r="649">
          <cell r="F649">
            <v>19</v>
          </cell>
        </row>
        <row r="650">
          <cell r="F650">
            <v>14</v>
          </cell>
        </row>
        <row r="651">
          <cell r="F651">
            <v>78</v>
          </cell>
        </row>
        <row r="652">
          <cell r="F652">
            <v>77</v>
          </cell>
        </row>
        <row r="654">
          <cell r="F654">
            <v>4</v>
          </cell>
        </row>
        <row r="655">
          <cell r="F655">
            <v>89</v>
          </cell>
        </row>
        <row r="657">
          <cell r="F657">
            <v>1095</v>
          </cell>
        </row>
        <row r="661">
          <cell r="F661">
            <v>992</v>
          </cell>
        </row>
        <row r="664">
          <cell r="F664">
            <v>1</v>
          </cell>
        </row>
        <row r="665">
          <cell r="F665">
            <v>172</v>
          </cell>
        </row>
        <row r="666">
          <cell r="F666">
            <v>481</v>
          </cell>
        </row>
        <row r="667">
          <cell r="F667">
            <v>799</v>
          </cell>
        </row>
        <row r="672">
          <cell r="F672">
            <v>80</v>
          </cell>
        </row>
        <row r="677">
          <cell r="F677">
            <v>72</v>
          </cell>
        </row>
        <row r="680">
          <cell r="F680">
            <v>6</v>
          </cell>
        </row>
        <row r="681">
          <cell r="F681">
            <v>4</v>
          </cell>
        </row>
        <row r="684">
          <cell r="F684">
            <v>3854</v>
          </cell>
        </row>
        <row r="686">
          <cell r="F686">
            <v>62</v>
          </cell>
        </row>
        <row r="694">
          <cell r="F694">
            <v>1127</v>
          </cell>
        </row>
        <row r="695">
          <cell r="F695">
            <v>1733</v>
          </cell>
        </row>
        <row r="696">
          <cell r="F696">
            <v>6</v>
          </cell>
        </row>
        <row r="697">
          <cell r="F697">
            <v>6</v>
          </cell>
        </row>
        <row r="701">
          <cell r="F701">
            <v>5</v>
          </cell>
        </row>
        <row r="706">
          <cell r="F706">
            <v>18</v>
          </cell>
        </row>
        <row r="709">
          <cell r="F709">
            <v>3</v>
          </cell>
        </row>
        <row r="710">
          <cell r="F710">
            <v>1</v>
          </cell>
        </row>
        <row r="712">
          <cell r="F712">
            <v>3</v>
          </cell>
        </row>
        <row r="713">
          <cell r="F713">
            <v>1</v>
          </cell>
        </row>
        <row r="715">
          <cell r="F715">
            <v>19</v>
          </cell>
        </row>
        <row r="719">
          <cell r="F719">
            <v>9</v>
          </cell>
        </row>
        <row r="724">
          <cell r="F724">
            <v>61</v>
          </cell>
        </row>
        <row r="725">
          <cell r="F725">
            <v>1</v>
          </cell>
        </row>
        <row r="726">
          <cell r="F726">
            <v>2</v>
          </cell>
        </row>
        <row r="735">
          <cell r="F735">
            <v>8</v>
          </cell>
        </row>
        <row r="738">
          <cell r="F738">
            <v>2</v>
          </cell>
        </row>
        <row r="754">
          <cell r="F754">
            <v>5</v>
          </cell>
        </row>
        <row r="759">
          <cell r="F759">
            <v>4</v>
          </cell>
        </row>
        <row r="764">
          <cell r="F764">
            <v>42</v>
          </cell>
        </row>
        <row r="765">
          <cell r="F765">
            <v>1</v>
          </cell>
        </row>
        <row r="766">
          <cell r="F766">
            <v>29</v>
          </cell>
        </row>
        <row r="767">
          <cell r="F767">
            <v>9</v>
          </cell>
        </row>
        <row r="768">
          <cell r="F768">
            <v>8</v>
          </cell>
        </row>
        <row r="769">
          <cell r="F769">
            <v>6</v>
          </cell>
        </row>
        <row r="773">
          <cell r="F773">
            <v>32</v>
          </cell>
        </row>
        <row r="781">
          <cell r="F781">
            <v>2</v>
          </cell>
        </row>
        <row r="782">
          <cell r="F782">
            <v>13</v>
          </cell>
        </row>
        <row r="784">
          <cell r="F784">
            <v>67</v>
          </cell>
        </row>
        <row r="788">
          <cell r="F788">
            <v>157</v>
          </cell>
        </row>
        <row r="789">
          <cell r="F789">
            <v>34</v>
          </cell>
        </row>
        <row r="790">
          <cell r="F790">
            <v>0</v>
          </cell>
        </row>
        <row r="791">
          <cell r="F791">
            <v>0</v>
          </cell>
        </row>
        <row r="792">
          <cell r="F792">
            <v>0</v>
          </cell>
        </row>
        <row r="793">
          <cell r="F793">
            <v>1150</v>
          </cell>
        </row>
        <row r="794">
          <cell r="F794">
            <v>53</v>
          </cell>
        </row>
        <row r="795">
          <cell r="F795">
            <v>322</v>
          </cell>
        </row>
        <row r="796">
          <cell r="F796">
            <v>241</v>
          </cell>
        </row>
        <row r="797">
          <cell r="F797">
            <v>217</v>
          </cell>
        </row>
        <row r="798">
          <cell r="F798">
            <v>168</v>
          </cell>
        </row>
        <row r="799">
          <cell r="F799">
            <v>19</v>
          </cell>
        </row>
        <row r="800">
          <cell r="F800">
            <v>10</v>
          </cell>
        </row>
        <row r="801">
          <cell r="F801">
            <v>0</v>
          </cell>
        </row>
        <row r="802">
          <cell r="F802">
            <v>7430</v>
          </cell>
        </row>
        <row r="803">
          <cell r="F803">
            <v>3</v>
          </cell>
        </row>
        <row r="804">
          <cell r="F804">
            <v>4</v>
          </cell>
        </row>
        <row r="805">
          <cell r="F805">
            <v>16</v>
          </cell>
        </row>
        <row r="806">
          <cell r="F806">
            <v>104</v>
          </cell>
        </row>
        <row r="807">
          <cell r="F807">
            <v>0</v>
          </cell>
        </row>
        <row r="808">
          <cell r="F808">
            <v>3</v>
          </cell>
        </row>
        <row r="809">
          <cell r="F809">
            <v>46</v>
          </cell>
        </row>
        <row r="810">
          <cell r="F810">
            <v>38</v>
          </cell>
        </row>
        <row r="811">
          <cell r="F811">
            <v>4496</v>
          </cell>
        </row>
        <row r="812">
          <cell r="F812">
            <v>0</v>
          </cell>
        </row>
        <row r="813">
          <cell r="F813">
            <v>59</v>
          </cell>
        </row>
        <row r="817">
          <cell r="F817">
            <v>67</v>
          </cell>
        </row>
        <row r="818">
          <cell r="F818">
            <v>193</v>
          </cell>
        </row>
        <row r="819">
          <cell r="F819">
            <v>0</v>
          </cell>
        </row>
        <row r="820">
          <cell r="F820">
            <v>0</v>
          </cell>
        </row>
        <row r="821">
          <cell r="F821">
            <v>0</v>
          </cell>
        </row>
        <row r="822">
          <cell r="F822">
            <v>138</v>
          </cell>
        </row>
        <row r="823">
          <cell r="F823">
            <v>3</v>
          </cell>
        </row>
        <row r="824">
          <cell r="F824">
            <v>59</v>
          </cell>
        </row>
        <row r="825">
          <cell r="F825">
            <v>0</v>
          </cell>
        </row>
        <row r="826">
          <cell r="F826">
            <v>0</v>
          </cell>
        </row>
        <row r="827">
          <cell r="F827">
            <v>0</v>
          </cell>
        </row>
        <row r="828">
          <cell r="F828">
            <v>0</v>
          </cell>
        </row>
        <row r="829">
          <cell r="F829">
            <v>190</v>
          </cell>
        </row>
        <row r="830">
          <cell r="F830">
            <v>49</v>
          </cell>
        </row>
        <row r="831">
          <cell r="F831">
            <v>1199</v>
          </cell>
        </row>
        <row r="832">
          <cell r="F832">
            <v>0</v>
          </cell>
        </row>
        <row r="833">
          <cell r="F833">
            <v>1784</v>
          </cell>
        </row>
        <row r="834">
          <cell r="F834">
            <v>0</v>
          </cell>
        </row>
        <row r="835">
          <cell r="F835">
            <v>1</v>
          </cell>
        </row>
        <row r="836">
          <cell r="F836">
            <v>0</v>
          </cell>
        </row>
        <row r="837">
          <cell r="F837">
            <v>0</v>
          </cell>
        </row>
        <row r="838">
          <cell r="F838">
            <v>61</v>
          </cell>
        </row>
        <row r="839">
          <cell r="F839">
            <v>165</v>
          </cell>
        </row>
        <row r="840">
          <cell r="F840">
            <v>2585</v>
          </cell>
        </row>
        <row r="841">
          <cell r="F841">
            <v>6</v>
          </cell>
        </row>
        <row r="842">
          <cell r="F84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13" displayName="Table13" ref="B3:AI29" totalsRowShown="0" headerRowDxfId="297" tableBorderDxfId="296">
  <autoFilter ref="B3:AI29" xr:uid="{00000000-0009-0000-0100-00000D000000}"/>
  <sortState ref="B4:AH29">
    <sortCondition ref="D4:D29" customList="030,047,020,015,038,019,06,039,052,016,017,044,022,35,021,049,014,048,027,046,037,028,011,004,051"/>
  </sortState>
  <tableColumns count="34">
    <tableColumn id="1" xr3:uid="{00000000-0010-0000-0000-000001000000}" name="Category" dataDxfId="295"/>
    <tableColumn id="2" xr3:uid="{00000000-0010-0000-0000-000002000000}" name="Product Group" dataDxfId="294"/>
    <tableColumn id="3" xr3:uid="{00000000-0010-0000-0000-000003000000}" name="Product Group Code " dataDxfId="293"/>
    <tableColumn id="4" xr3:uid="{00000000-0010-0000-0000-000004000000}" name="AT" dataDxfId="292">
      <calculatedColumnFormula>'LICENCIAS Y PRODUCTOS 2025-03'!#REF!</calculatedColumnFormula>
    </tableColumn>
    <tableColumn id="5" xr3:uid="{00000000-0010-0000-0000-000005000000}" name="BE" dataDxfId="291">
      <calculatedColumnFormula>'LICENCIAS Y PRODUCTOS 2025-03'!#REF!</calculatedColumnFormula>
    </tableColumn>
    <tableColumn id="6" xr3:uid="{00000000-0010-0000-0000-000006000000}" name="BG" dataDxfId="290">
      <calculatedColumnFormula>'LICENCIAS Y PRODUCTOS 2025-03'!#REF!</calculatedColumnFormula>
    </tableColumn>
    <tableColumn id="7" xr3:uid="{00000000-0010-0000-0000-000007000000}" name="CY" dataDxfId="289">
      <calculatedColumnFormula>'LICENCIAS Y PRODUCTOS 2025-03'!#REF!</calculatedColumnFormula>
    </tableColumn>
    <tableColumn id="8" xr3:uid="{00000000-0010-0000-0000-000008000000}" name="CZ" dataDxfId="288">
      <calculatedColumnFormula>'LICENCIAS Y PRODUCTOS 2025-03'!#REF!</calculatedColumnFormula>
    </tableColumn>
    <tableColumn id="9" xr3:uid="{00000000-0010-0000-0000-000009000000}" name="DE" dataDxfId="287">
      <calculatedColumnFormula>'LICENCIAS Y PRODUCTOS 2025-03'!#REF!</calculatedColumnFormula>
    </tableColumn>
    <tableColumn id="10" xr3:uid="{00000000-0010-0000-0000-00000A000000}" name="DK" dataDxfId="286">
      <calculatedColumnFormula>'LICENCIAS Y PRODUCTOS 2025-03'!#REF!</calculatedColumnFormula>
    </tableColumn>
    <tableColumn id="11" xr3:uid="{00000000-0010-0000-0000-00000B000000}" name="EE" dataDxfId="285">
      <calculatedColumnFormula>'LICENCIAS Y PRODUCTOS 2025-03'!#REF!</calculatedColumnFormula>
    </tableColumn>
    <tableColumn id="12" xr3:uid="{00000000-0010-0000-0000-00000C000000}" name="EL" dataDxfId="284">
      <calculatedColumnFormula>'LICENCIAS Y PRODUCTOS 2025-03'!#REF!</calculatedColumnFormula>
    </tableColumn>
    <tableColumn id="13" xr3:uid="{00000000-0010-0000-0000-00000D000000}" name="ES" dataDxfId="283">
      <calculatedColumnFormula>'LICENCIAS Y PRODUCTOS 2025-03'!D3</calculatedColumnFormula>
    </tableColumn>
    <tableColumn id="14" xr3:uid="{00000000-0010-0000-0000-00000E000000}" name="FI" dataDxfId="282">
      <calculatedColumnFormula>'LICENCIAS Y PRODUCTOS 2025-03'!#REF!</calculatedColumnFormula>
    </tableColumn>
    <tableColumn id="15" xr3:uid="{00000000-0010-0000-0000-00000F000000}" name="FR" dataDxfId="281">
      <calculatedColumnFormula>'LICENCIAS Y PRODUCTOS 2025-03'!#REF!</calculatedColumnFormula>
    </tableColumn>
    <tableColumn id="16" xr3:uid="{00000000-0010-0000-0000-000010000000}" name="HR " dataDxfId="280">
      <calculatedColumnFormula>'LICENCIAS Y PRODUCTOS 2025-03'!#REF!</calculatedColumnFormula>
    </tableColumn>
    <tableColumn id="17" xr3:uid="{00000000-0010-0000-0000-000011000000}" name="HU" dataDxfId="279">
      <calculatedColumnFormula>'LICENCIAS Y PRODUCTOS 2025-03'!#REF!</calculatedColumnFormula>
    </tableColumn>
    <tableColumn id="18" xr3:uid="{00000000-0010-0000-0000-000012000000}" name="IE" dataDxfId="278">
      <calculatedColumnFormula>'LICENCIAS Y PRODUCTOS 2025-03'!#REF!</calculatedColumnFormula>
    </tableColumn>
    <tableColumn id="19" xr3:uid="{00000000-0010-0000-0000-000013000000}" name="IS" dataDxfId="277">
      <calculatedColumnFormula>'LICENCIAS Y PRODUCTOS 2025-03'!#REF!</calculatedColumnFormula>
    </tableColumn>
    <tableColumn id="20" xr3:uid="{00000000-0010-0000-0000-000014000000}" name="IT" dataDxfId="276">
      <calculatedColumnFormula>'LICENCIAS Y PRODUCTOS 2025-03'!#REF!</calculatedColumnFormula>
    </tableColumn>
    <tableColumn id="21" xr3:uid="{00000000-0010-0000-0000-000015000000}" name="LT" dataDxfId="275">
      <calculatedColumnFormula>'LICENCIAS Y PRODUCTOS 2025-03'!#REF!</calculatedColumnFormula>
    </tableColumn>
    <tableColumn id="22" xr3:uid="{00000000-0010-0000-0000-000016000000}" name="LU" dataDxfId="274">
      <calculatedColumnFormula>'LICENCIAS Y PRODUCTOS 2025-03'!#REF!</calculatedColumnFormula>
    </tableColumn>
    <tableColumn id="23" xr3:uid="{00000000-0010-0000-0000-000017000000}" name="LV" dataDxfId="273">
      <calculatedColumnFormula>'LICENCIAS Y PRODUCTOS 2025-03'!#REF!</calculatedColumnFormula>
    </tableColumn>
    <tableColumn id="24" xr3:uid="{00000000-0010-0000-0000-000018000000}" name="MT" dataDxfId="272">
      <calculatedColumnFormula>'LICENCIAS Y PRODUCTOS 2025-03'!#REF!</calculatedColumnFormula>
    </tableColumn>
    <tableColumn id="25" xr3:uid="{00000000-0010-0000-0000-000019000000}" name="NL" dataDxfId="271">
      <calculatedColumnFormula>'LICENCIAS Y PRODUCTOS 2025-03'!#REF!</calculatedColumnFormula>
    </tableColumn>
    <tableColumn id="26" xr3:uid="{00000000-0010-0000-0000-00001A000000}" name="NO" dataDxfId="270">
      <calculatedColumnFormula>'LICENCIAS Y PRODUCTOS 2025-03'!#REF!</calculatedColumnFormula>
    </tableColumn>
    <tableColumn id="27" xr3:uid="{00000000-0010-0000-0000-00001B000000}" name="PL" dataDxfId="269">
      <calculatedColumnFormula>'LICENCIAS Y PRODUCTOS 2025-03'!#REF!</calculatedColumnFormula>
    </tableColumn>
    <tableColumn id="28" xr3:uid="{00000000-0010-0000-0000-00001C000000}" name="PT" dataDxfId="268">
      <calculatedColumnFormula>'LICENCIAS Y PRODUCTOS 2025-03'!#REF!</calculatedColumnFormula>
    </tableColumn>
    <tableColumn id="29" xr3:uid="{00000000-0010-0000-0000-00001D000000}" name="RO" dataDxfId="267">
      <calculatedColumnFormula>'LICENCIAS Y PRODUCTOS 2025-03'!#REF!</calculatedColumnFormula>
    </tableColumn>
    <tableColumn id="30" xr3:uid="{00000000-0010-0000-0000-00001E000000}" name="SE" dataDxfId="266">
      <calculatedColumnFormula>'LICENCIAS Y PRODUCTOS 2025-03'!#REF!</calculatedColumnFormula>
    </tableColumn>
    <tableColumn id="31" xr3:uid="{00000000-0010-0000-0000-00001F000000}" name="SI" dataDxfId="265">
      <calculatedColumnFormula>'LICENCIAS Y PRODUCTOS 2025-03'!#REF!</calculatedColumnFormula>
    </tableColumn>
    <tableColumn id="32" xr3:uid="{00000000-0010-0000-0000-000020000000}" name="SK" dataDxfId="264">
      <calculatedColumnFormula>'LICENCIAS Y PRODUCTOS 2025-03'!#REF!</calculatedColumnFormula>
    </tableColumn>
    <tableColumn id="33" xr3:uid="{00000000-0010-0000-0000-000021000000}" name="GBNIR" dataDxfId="263">
      <calculatedColumnFormula>'LICENCIAS Y PRODUCTOS 2025-03'!#REF!</calculatedColumnFormula>
    </tableColumn>
    <tableColumn id="34" xr3:uid="{94D80B4D-D905-4938-9F90-FB7D1F3AF2DF}" name="-" dataDxfId="262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1000000}" name="Table14" displayName="Table14" ref="B34:AI60" totalsRowShown="0" headerRowDxfId="261" tableBorderDxfId="260">
  <autoFilter ref="B34:AI60" xr:uid="{00000000-0009-0000-0100-00000E000000}"/>
  <sortState ref="B35:AH60">
    <sortCondition ref="D35:D60" customList="030,047,020,015,038,019,06,039,052,016,017,044,022,35,021,049,014,048,027,046,037,028,011,004,051"/>
  </sortState>
  <tableColumns count="34">
    <tableColumn id="1" xr3:uid="{00000000-0010-0000-0100-000001000000}" name="Category" dataDxfId="259"/>
    <tableColumn id="2" xr3:uid="{00000000-0010-0000-0100-000002000000}" name="Product Group" dataDxfId="258"/>
    <tableColumn id="3" xr3:uid="{00000000-0010-0000-0100-000003000000}" name="Product Group Code " dataDxfId="257"/>
    <tableColumn id="4" xr3:uid="{00000000-0010-0000-0100-000004000000}" name="AT" dataDxfId="256">
      <calculatedColumnFormula>'LICENCIAS Y PRODUCTOS 2025-03'!#REF!</calculatedColumnFormula>
    </tableColumn>
    <tableColumn id="5" xr3:uid="{00000000-0010-0000-0100-000005000000}" name="BE" dataDxfId="255">
      <calculatedColumnFormula>'LICENCIAS Y PRODUCTOS 2025-03'!#REF!</calculatedColumnFormula>
    </tableColumn>
    <tableColumn id="6" xr3:uid="{00000000-0010-0000-0100-000006000000}" name="BG" dataDxfId="254">
      <calculatedColumnFormula>'LICENCIAS Y PRODUCTOS 2025-03'!#REF!</calculatedColumnFormula>
    </tableColumn>
    <tableColumn id="7" xr3:uid="{00000000-0010-0000-0100-000007000000}" name="CY" dataDxfId="253">
      <calculatedColumnFormula>'LICENCIAS Y PRODUCTOS 2025-03'!#REF!</calculatedColumnFormula>
    </tableColumn>
    <tableColumn id="8" xr3:uid="{00000000-0010-0000-0100-000008000000}" name="CZ" dataDxfId="252">
      <calculatedColumnFormula>'LICENCIAS Y PRODUCTOS 2025-03'!#REF!</calculatedColumnFormula>
    </tableColumn>
    <tableColumn id="9" xr3:uid="{00000000-0010-0000-0100-000009000000}" name="DE" dataDxfId="251">
      <calculatedColumnFormula>'LICENCIAS Y PRODUCTOS 2025-03'!#REF!</calculatedColumnFormula>
    </tableColumn>
    <tableColumn id="10" xr3:uid="{00000000-0010-0000-0100-00000A000000}" name="DK" dataDxfId="250">
      <calculatedColumnFormula>'LICENCIAS Y PRODUCTOS 2025-03'!#REF!</calculatedColumnFormula>
    </tableColumn>
    <tableColumn id="11" xr3:uid="{00000000-0010-0000-0100-00000B000000}" name="EE" dataDxfId="249">
      <calculatedColumnFormula>'LICENCIAS Y PRODUCTOS 2025-03'!#REF!</calculatedColumnFormula>
    </tableColumn>
    <tableColumn id="12" xr3:uid="{00000000-0010-0000-0100-00000C000000}" name="EL" dataDxfId="248">
      <calculatedColumnFormula>'LICENCIAS Y PRODUCTOS 2025-03'!#REF!</calculatedColumnFormula>
    </tableColumn>
    <tableColumn id="13" xr3:uid="{00000000-0010-0000-0100-00000D000000}" name="ES" dataDxfId="247">
      <calculatedColumnFormula>'LICENCIAS Y PRODUCTOS 2025-03'!E3</calculatedColumnFormula>
    </tableColumn>
    <tableColumn id="14" xr3:uid="{00000000-0010-0000-0100-00000E000000}" name="FI" dataDxfId="246">
      <calculatedColumnFormula>'LICENCIAS Y PRODUCTOS 2025-03'!#REF!</calculatedColumnFormula>
    </tableColumn>
    <tableColumn id="15" xr3:uid="{00000000-0010-0000-0100-00000F000000}" name="FR" dataDxfId="245">
      <calculatedColumnFormula>'LICENCIAS Y PRODUCTOS 2025-03'!#REF!</calculatedColumnFormula>
    </tableColumn>
    <tableColumn id="16" xr3:uid="{00000000-0010-0000-0100-000010000000}" name="HR" dataDxfId="244">
      <calculatedColumnFormula>'LICENCIAS Y PRODUCTOS 2025-03'!#REF!</calculatedColumnFormula>
    </tableColumn>
    <tableColumn id="17" xr3:uid="{00000000-0010-0000-0100-000011000000}" name="HU" dataDxfId="243">
      <calculatedColumnFormula>'LICENCIAS Y PRODUCTOS 2025-03'!#REF!</calculatedColumnFormula>
    </tableColumn>
    <tableColumn id="18" xr3:uid="{00000000-0010-0000-0100-000012000000}" name="IE" dataDxfId="242">
      <calculatedColumnFormula>'LICENCIAS Y PRODUCTOS 2025-03'!#REF!</calculatedColumnFormula>
    </tableColumn>
    <tableColumn id="19" xr3:uid="{00000000-0010-0000-0100-000013000000}" name="IS" dataDxfId="241">
      <calculatedColumnFormula>'LICENCIAS Y PRODUCTOS 2025-03'!#REF!</calculatedColumnFormula>
    </tableColumn>
    <tableColumn id="20" xr3:uid="{00000000-0010-0000-0100-000014000000}" name="IT" dataDxfId="240">
      <calculatedColumnFormula>'LICENCIAS Y PRODUCTOS 2025-03'!#REF!</calculatedColumnFormula>
    </tableColumn>
    <tableColumn id="21" xr3:uid="{00000000-0010-0000-0100-000015000000}" name="LT" dataDxfId="239">
      <calculatedColumnFormula>'LICENCIAS Y PRODUCTOS 2025-03'!#REF!</calculatedColumnFormula>
    </tableColumn>
    <tableColumn id="22" xr3:uid="{00000000-0010-0000-0100-000016000000}" name="LU" dataDxfId="238">
      <calculatedColumnFormula>'LICENCIAS Y PRODUCTOS 2025-03'!#REF!</calculatedColumnFormula>
    </tableColumn>
    <tableColumn id="23" xr3:uid="{00000000-0010-0000-0100-000017000000}" name="LV" dataDxfId="237">
      <calculatedColumnFormula>'LICENCIAS Y PRODUCTOS 2025-03'!#REF!</calculatedColumnFormula>
    </tableColumn>
    <tableColumn id="24" xr3:uid="{00000000-0010-0000-0100-000018000000}" name="MT" dataDxfId="236">
      <calculatedColumnFormula>'LICENCIAS Y PRODUCTOS 2025-03'!#REF!</calculatedColumnFormula>
    </tableColumn>
    <tableColumn id="25" xr3:uid="{00000000-0010-0000-0100-000019000000}" name="NL" dataDxfId="235">
      <calculatedColumnFormula>'LICENCIAS Y PRODUCTOS 2025-03'!#REF!</calculatedColumnFormula>
    </tableColumn>
    <tableColumn id="26" xr3:uid="{00000000-0010-0000-0100-00001A000000}" name="NO" dataDxfId="234">
      <calculatedColumnFormula>'LICENCIAS Y PRODUCTOS 2025-03'!#REF!</calculatedColumnFormula>
    </tableColumn>
    <tableColumn id="27" xr3:uid="{00000000-0010-0000-0100-00001B000000}" name="PL" dataDxfId="233">
      <calculatedColumnFormula>'LICENCIAS Y PRODUCTOS 2025-03'!#REF!</calculatedColumnFormula>
    </tableColumn>
    <tableColumn id="28" xr3:uid="{00000000-0010-0000-0100-00001C000000}" name="PT" dataDxfId="232">
      <calculatedColumnFormula>'LICENCIAS Y PRODUCTOS 2025-03'!#REF!</calculatedColumnFormula>
    </tableColumn>
    <tableColumn id="29" xr3:uid="{00000000-0010-0000-0100-00001D000000}" name="RO" dataDxfId="231">
      <calculatedColumnFormula>'LICENCIAS Y PRODUCTOS 2025-03'!#REF!</calculatedColumnFormula>
    </tableColumn>
    <tableColumn id="30" xr3:uid="{00000000-0010-0000-0100-00001E000000}" name="SE" dataDxfId="230">
      <calculatedColumnFormula>'LICENCIAS Y PRODUCTOS 2025-03'!#REF!</calculatedColumnFormula>
    </tableColumn>
    <tableColumn id="31" xr3:uid="{00000000-0010-0000-0100-00001F000000}" name="SI" dataDxfId="229">
      <calculatedColumnFormula>'LICENCIAS Y PRODUCTOS 2025-03'!#REF!</calculatedColumnFormula>
    </tableColumn>
    <tableColumn id="32" xr3:uid="{00000000-0010-0000-0100-000020000000}" name="SK" dataDxfId="228">
      <calculatedColumnFormula>'LICENCIAS Y PRODUCTOS 2025-03'!#REF!</calculatedColumnFormula>
    </tableColumn>
    <tableColumn id="33" xr3:uid="{00000000-0010-0000-0100-000021000000}" name="GBNIR" dataDxfId="227">
      <calculatedColumnFormula>'LICENCIAS Y PRODUCTOS 2025-03'!#REF!</calculatedColumnFormula>
    </tableColumn>
    <tableColumn id="34" xr3:uid="{0C1F7BFF-A970-467E-8B6D-15A8282357BF}" name="-" dataDxfId="226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77EF232-1E4E-403B-B5AE-AB5AFD5B2D01}" name="Table138" displayName="Table138" ref="B3:AI29" totalsRowShown="0" headerRowDxfId="225" tableBorderDxfId="224">
  <autoFilter ref="B3:AI29" xr:uid="{00000000-0009-0000-0100-00000D000000}"/>
  <sortState ref="B4:AH29">
    <sortCondition ref="D4:D29" customList="030,047,020,015,038,019,06,039,052,016,017,044,022,35,021,049,014,048,027,046,037,028,011,004,051"/>
  </sortState>
  <tableColumns count="34">
    <tableColumn id="1" xr3:uid="{88D7AFE1-CEB7-4A15-8694-86E1DF59B5AF}" name="Category" dataDxfId="223"/>
    <tableColumn id="2" xr3:uid="{9E8FB9A6-12C6-41BA-B6AD-2EF222498C66}" name="Product Group" dataDxfId="222"/>
    <tableColumn id="3" xr3:uid="{D9EDFB58-1AAB-464A-835D-A6827DECD323}" name="Product Group Code " dataDxfId="221"/>
    <tableColumn id="4" xr3:uid="{14C6994C-A893-413F-A8CB-32D8D35D9A9C}" name="AT" dataDxfId="220"/>
    <tableColumn id="5" xr3:uid="{A6787B3A-F66F-442A-9988-84A547CB1BB5}" name="BE" dataDxfId="219"/>
    <tableColumn id="6" xr3:uid="{F199DE83-5C4B-4BB3-8507-E033DF4C71B8}" name="BG" dataDxfId="218"/>
    <tableColumn id="7" xr3:uid="{42C4718B-8FCD-4580-89B5-5A53FFDEE09F}" name="CY" dataDxfId="217"/>
    <tableColumn id="8" xr3:uid="{7FF44445-7796-466F-8A4E-69945C0B174D}" name="CZ" dataDxfId="216"/>
    <tableColumn id="9" xr3:uid="{943F4465-74B6-453D-AC4E-47093057ADDD}" name="DE" dataDxfId="215"/>
    <tableColumn id="10" xr3:uid="{110AAFE0-EA30-4E0B-93C6-1F73AA79BB40}" name="DK" dataDxfId="214"/>
    <tableColumn id="11" xr3:uid="{8E38D89A-3438-46AC-9A9B-287EFEABBA40}" name="EE" dataDxfId="213"/>
    <tableColumn id="12" xr3:uid="{74261172-9699-431C-B717-D63A7CDDC406}" name="EL" dataDxfId="212"/>
    <tableColumn id="13" xr3:uid="{E8FA3A84-401C-470B-8939-B9D1199195B3}" name="ES" dataDxfId="211"/>
    <tableColumn id="14" xr3:uid="{60C2472C-0C48-4EE2-BB42-6D616DD7837C}" name="FI" dataDxfId="210"/>
    <tableColumn id="15" xr3:uid="{EA341D7A-6C71-405C-BB95-BD412030F19D}" name="FR" dataDxfId="209"/>
    <tableColumn id="16" xr3:uid="{B6FF70EA-9A23-4CD9-B3A8-12712A143BE0}" name="HR " dataDxfId="208"/>
    <tableColumn id="17" xr3:uid="{9CB180FF-62CE-460B-AC6E-BE43FC91EC35}" name="HU" dataDxfId="207"/>
    <tableColumn id="18" xr3:uid="{8BF2C926-4D33-4D4F-AC3D-E17AA21F6811}" name="IE" dataDxfId="206"/>
    <tableColumn id="19" xr3:uid="{6FA61592-9E37-4C63-9669-EE20B7C6ED7D}" name="IS" dataDxfId="205"/>
    <tableColumn id="20" xr3:uid="{32FCD5A7-536E-41DC-B590-BB283D00E050}" name="IT" dataDxfId="204"/>
    <tableColumn id="21" xr3:uid="{04EE299B-0385-4FA4-B221-4E559456B232}" name="LT" dataDxfId="203"/>
    <tableColumn id="22" xr3:uid="{EF532D4D-79E0-4483-A736-74A0971DC8A5}" name="LU" dataDxfId="202"/>
    <tableColumn id="23" xr3:uid="{FD5CE109-E417-4AFF-BDC4-69F9CFC44F1F}" name="LV" dataDxfId="201"/>
    <tableColumn id="24" xr3:uid="{4EA21C01-32BD-44AD-8A58-0C0E3B679B8D}" name="MT" dataDxfId="200"/>
    <tableColumn id="25" xr3:uid="{9475F1A1-7351-43FF-B1E8-F5ED96CD5BDA}" name="NL" dataDxfId="199"/>
    <tableColumn id="26" xr3:uid="{89F09A70-9F25-4BD3-BED8-9BA97E18F7FA}" name="NO" dataDxfId="198"/>
    <tableColumn id="27" xr3:uid="{1A8E81EC-64C5-4F75-8F02-7004B0FB47F8}" name="PL" dataDxfId="197"/>
    <tableColumn id="28" xr3:uid="{2184120C-CF89-4B41-A101-EE592E3D40B7}" name="PT" dataDxfId="196"/>
    <tableColumn id="29" xr3:uid="{C5D85000-ED89-4363-86D8-0147E132546F}" name="RO" dataDxfId="195"/>
    <tableColumn id="30" xr3:uid="{115147F9-7428-4876-BD87-8CE0240AAF28}" name="SE" dataDxfId="194"/>
    <tableColumn id="31" xr3:uid="{E8D72E45-4435-42D1-AE6D-FF80FAC1457D}" name="SI" dataDxfId="193"/>
    <tableColumn id="32" xr3:uid="{7501657D-AADE-4F4B-9DC8-755C6A7A8E9C}" name="SK" dataDxfId="192"/>
    <tableColumn id="33" xr3:uid="{E287520C-1FBD-41EB-8D28-7F0413BA1FD9}" name="GBNIR" dataDxfId="191"/>
    <tableColumn id="34" xr3:uid="{1D10D442-D679-41B9-9FD2-AA2DB45FFE99}" name="-" dataDxfId="190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FF3F7FA-8440-470E-BF09-7D7D65841F15}" name="Table149" displayName="Table149" ref="B34:AI60" totalsRowShown="0" headerRowDxfId="189" tableBorderDxfId="188">
  <autoFilter ref="B34:AI60" xr:uid="{00000000-0009-0000-0100-00000E000000}"/>
  <sortState ref="B35:AH60">
    <sortCondition ref="D35:D60" customList="030,047,020,015,038,019,06,039,052,016,017,044,022,35,021,049,014,048,027,046,037,028,011,004,051"/>
  </sortState>
  <tableColumns count="34">
    <tableColumn id="1" xr3:uid="{D6660ACB-F1BB-467D-A4E5-A19F8D2A653C}" name="Category" dataDxfId="187"/>
    <tableColumn id="2" xr3:uid="{6753131E-8451-45F0-BF93-1A92A0F2BE2D}" name="Product Group" dataDxfId="186"/>
    <tableColumn id="3" xr3:uid="{64637473-6539-4098-8A0C-82C040900A59}" name="Product Group Code " dataDxfId="185"/>
    <tableColumn id="4" xr3:uid="{DCFB59A8-6574-473E-B8BC-1170960C8171}" name="AT" dataDxfId="184">
      <calculatedColumnFormula>'[2]1 RawCompil CB September 2024'!F4</calculatedColumnFormula>
    </tableColumn>
    <tableColumn id="5" xr3:uid="{CA177E91-9FF1-478C-8184-04656B0D0A20}" name="BE" dataDxfId="183">
      <calculatedColumnFormula>'[2]1 RawCompil CB September 2024'!F33</calculatedColumnFormula>
    </tableColumn>
    <tableColumn id="6" xr3:uid="{85C711EC-6E7F-4389-99BF-7B4D2925BF76}" name="BG" dataDxfId="182">
      <calculatedColumnFormula>'[2]1 RawCompil CB September 2024'!F62</calculatedColumnFormula>
    </tableColumn>
    <tableColumn id="7" xr3:uid="{F1F35547-9FF0-4401-8B3F-69BEB923718A}" name="CY" dataDxfId="181">
      <calculatedColumnFormula>'[2]1 RawCompil CB September 2024'!F120</calculatedColumnFormula>
    </tableColumn>
    <tableColumn id="8" xr3:uid="{67E83825-0ED0-4C83-B0EF-66EDAF39EDA4}" name="CZ" dataDxfId="180">
      <calculatedColumnFormula>'[2]1 RawCompil CB September 2024'!F149</calculatedColumnFormula>
    </tableColumn>
    <tableColumn id="9" xr3:uid="{33FDE695-759B-465C-81D2-A878F9F46C0C}" name="DE" dataDxfId="179">
      <calculatedColumnFormula>'[2]1 RawCompil CB September 2024'!F294</calculatedColumnFormula>
    </tableColumn>
    <tableColumn id="10" xr3:uid="{93B0D871-5766-4A4B-8EA3-9DE7D01B57E3}" name="DK" dataDxfId="178">
      <calculatedColumnFormula>'[2]1 RawCompil CB September 2024'!F178</calculatedColumnFormula>
    </tableColumn>
    <tableColumn id="11" xr3:uid="{6C13425B-C29C-4B32-B7D3-A6117EBB4A10}" name="EE" dataDxfId="177">
      <calculatedColumnFormula>'[2]1 RawCompil CB September 2024'!F207</calculatedColumnFormula>
    </tableColumn>
    <tableColumn id="12" xr3:uid="{CD18C5AF-C566-4053-BCEB-84596688E8A3}" name="EL" dataDxfId="176">
      <calculatedColumnFormula>'[2]1 RawCompil CB September 2024'!F323</calculatedColumnFormula>
    </tableColumn>
    <tableColumn id="13" xr3:uid="{5AA00C6D-FC90-4C9A-A4BF-7961AE76393F}" name="ES" dataDxfId="175">
      <calculatedColumnFormula>'[2]1 RawCompil CB September 2024'!F788</calculatedColumnFormula>
    </tableColumn>
    <tableColumn id="14" xr3:uid="{4D598BC1-9A1E-4D72-B8C0-E157446B026A}" name="FI" dataDxfId="174">
      <calculatedColumnFormula>'[2]1 RawCompil CB September 2024'!F236</calculatedColumnFormula>
    </tableColumn>
    <tableColumn id="15" xr3:uid="{FA0A5496-7067-4512-9045-5E4683441C26}" name="FR" dataDxfId="173">
      <calculatedColumnFormula>'[2]1 RawCompil CB September 2024'!F265</calculatedColumnFormula>
    </tableColumn>
    <tableColumn id="16" xr3:uid="{5C4EBB4E-FAEB-4A87-BE98-B3645F91DCED}" name="HR" dataDxfId="172">
      <calculatedColumnFormula>'[2]1 RawCompil CB September 2024'!F91</calculatedColumnFormula>
    </tableColumn>
    <tableColumn id="17" xr3:uid="{3A1C40BA-0E0F-4A67-9743-2D879B0F5118}" name="HU" dataDxfId="171">
      <calculatedColumnFormula>'[2]1 RawCompil CB September 2024'!F352</calculatedColumnFormula>
    </tableColumn>
    <tableColumn id="18" xr3:uid="{75097FDC-7436-4B2D-BE7A-752554989744}" name="IE" dataDxfId="170">
      <calculatedColumnFormula>'[2]1 RawCompil CB September 2024'!F410</calculatedColumnFormula>
    </tableColumn>
    <tableColumn id="19" xr3:uid="{462D4E8D-A399-43B3-AA0D-CF63EF7787F3}" name="IS" dataDxfId="169">
      <calculatedColumnFormula>'[2]1 RawCompil CB September 2024'!F381</calculatedColumnFormula>
    </tableColumn>
    <tableColumn id="20" xr3:uid="{BD89831D-D94D-40D8-AF64-DACEE68AFDF3}" name="IT" dataDxfId="168">
      <calculatedColumnFormula>'[2]1 RawCompil CB September 2024'!F439</calculatedColumnFormula>
    </tableColumn>
    <tableColumn id="21" xr3:uid="{B6F13A37-F209-4740-B9E7-9CC861D68750}" name="LT" dataDxfId="167">
      <calculatedColumnFormula>'[2]1 RawCompil CB September 2024'!F498</calculatedColumnFormula>
    </tableColumn>
    <tableColumn id="22" xr3:uid="{91254B26-467A-43C8-9191-D968BBDCC17B}" name="LU" dataDxfId="166">
      <calculatedColumnFormula>'[2]1 RawCompil CB September 2024'!F527</calculatedColumnFormula>
    </tableColumn>
    <tableColumn id="23" xr3:uid="{DE1A749C-F9D5-400B-B942-61D0C950BB4E}" name="LV" dataDxfId="165">
      <calculatedColumnFormula>'[2]1 RawCompil CB September 2024'!F469</calculatedColumnFormula>
    </tableColumn>
    <tableColumn id="24" xr3:uid="{3A8B8694-6983-46BE-9035-75DB058009D3}" name="MT" dataDxfId="164">
      <calculatedColumnFormula>'[2]1 RawCompil CB September 2024'!F556</calculatedColumnFormula>
    </tableColumn>
    <tableColumn id="25" xr3:uid="{2D540319-5A10-46EB-906E-26490EEE4F5D}" name="NL" dataDxfId="163">
      <calculatedColumnFormula>'[2]1 RawCompil CB September 2024'!F585</calculatedColumnFormula>
    </tableColumn>
    <tableColumn id="26" xr3:uid="{3BAB110C-6879-4211-9C02-5EA0406261D2}" name="NO" dataDxfId="162">
      <calculatedColumnFormula>'[2]1 RawCompil CB September 2024'!F614</calculatedColumnFormula>
    </tableColumn>
    <tableColumn id="27" xr3:uid="{C0F7ADBC-8515-4BE9-89F5-734894AD043A}" name="PL" dataDxfId="161">
      <calculatedColumnFormula>'[2]1 RawCompil CB September 2024'!F643</calculatedColumnFormula>
    </tableColumn>
    <tableColumn id="28" xr3:uid="{6E9302A9-FFC4-436C-B9E6-1AC13DEBF524}" name="PT" dataDxfId="160">
      <calculatedColumnFormula>'[2]1 RawCompil CB September 2024'!F672</calculatedColumnFormula>
    </tableColumn>
    <tableColumn id="29" xr3:uid="{98628A76-3D2C-412B-ABC6-D85C90DE78DA}" name="RO" dataDxfId="159">
      <calculatedColumnFormula>'[2]1 RawCompil CB September 2024'!F701</calculatedColumnFormula>
    </tableColumn>
    <tableColumn id="30" xr3:uid="{823A2789-24C8-4F50-84B2-B7F8FFF77526}" name="SE" dataDxfId="158">
      <calculatedColumnFormula>'[2]1 RawCompil CB September 2024'!F817</calculatedColumnFormula>
    </tableColumn>
    <tableColumn id="31" xr3:uid="{910F7D8B-FB08-4174-BAF1-9833D854D1C8}" name="SI" dataDxfId="157">
      <calculatedColumnFormula>'[2]1 RawCompil CB September 2024'!F759</calculatedColumnFormula>
    </tableColumn>
    <tableColumn id="32" xr3:uid="{3EBA0252-90D5-4876-887A-A13209654D5F}" name="SK" dataDxfId="156">
      <calculatedColumnFormula>'[2]1 RawCompil CB September 2024'!F730</calculatedColumnFormula>
    </tableColumn>
    <tableColumn id="33" xr3:uid="{8CB138DD-FB5F-41AF-8065-DCBF8BE93E73}" name="GBNIR" dataDxfId="155">
      <calculatedColumnFormula>'[2]1 RawCompil CB September 2024'!F846</calculatedColumnFormula>
    </tableColumn>
    <tableColumn id="34" xr3:uid="{B50AF166-214C-46A5-BA5B-8D2B26E3BCE9}" name="-" dataDxfId="154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7BA730E-07E1-492B-8CF9-0FABE5B1455F}" name="Table134" displayName="Table134" ref="D3:AI29" totalsRowShown="0" headerRowDxfId="153" tableBorderDxfId="152">
  <autoFilter ref="D3:AI29" xr:uid="{56BD7A84-2365-4CCE-9A4F-E7B0A6BB905A}"/>
  <sortState ref="B4:AH29">
    <sortCondition ref="D4:D29" customList="030,047,020,015,038,019,06,039,052,016,017,044,022,35,021,049,014,048,027,046,037,028,011,004,051"/>
  </sortState>
  <tableColumns count="32">
    <tableColumn id="3" xr3:uid="{2BBDB394-80FB-488A-8C86-8DDB946D0A44}" name="Category2" dataDxfId="151"/>
    <tableColumn id="4" xr3:uid="{95D7DA92-D5D6-4322-BFF3-ED27B97A06DB}" name="Product Group3" dataDxfId="150"/>
    <tableColumn id="5" xr3:uid="{508AA803-C024-4D54-B0D2-B9BBA0CE0C8C}" name="Product Group Code " dataDxfId="149"/>
    <tableColumn id="6" xr3:uid="{D3DAF6A9-47E1-440E-8679-126DEBBB7D2F}" name="AT" dataDxfId="148">
      <calculatedColumnFormula>'LICENCIAS Y PRODUCTOS 2025-03'!#REF!</calculatedColumnFormula>
    </tableColumn>
    <tableColumn id="7" xr3:uid="{84C7E10B-0F2C-4729-863B-A8068DEF5F2C}" name="BE" dataDxfId="147">
      <calculatedColumnFormula>'LICENCIAS Y PRODUCTOS 2025-03'!#REF!</calculatedColumnFormula>
    </tableColumn>
    <tableColumn id="8" xr3:uid="{3C3E70E1-60B7-40DD-A088-B7337667B519}" name="BG" dataDxfId="146">
      <calculatedColumnFormula>'LICENCIAS Y PRODUCTOS 2025-03'!#REF!</calculatedColumnFormula>
    </tableColumn>
    <tableColumn id="9" xr3:uid="{6AFCD65A-3DB6-4224-BF0E-E4CE0E04661C}" name="CY" dataDxfId="145">
      <calculatedColumnFormula>'LICENCIAS Y PRODUCTOS 2025-03'!#REF!</calculatedColumnFormula>
    </tableColumn>
    <tableColumn id="10" xr3:uid="{C1D1F2FD-E616-4D7C-AEF3-309E3A96AC39}" name="CZ" dataDxfId="144">
      <calculatedColumnFormula>'LICENCIAS Y PRODUCTOS 2025-03'!#REF!</calculatedColumnFormula>
    </tableColumn>
    <tableColumn id="11" xr3:uid="{16590820-E3DE-4054-B666-AD32C24FFCDB}" name="DE" dataDxfId="143">
      <calculatedColumnFormula>'LICENCIAS Y PRODUCTOS 2025-03'!#REF!</calculatedColumnFormula>
    </tableColumn>
    <tableColumn id="12" xr3:uid="{0376C2A1-5A01-4EFA-91E0-3341A869403F}" name="DK" dataDxfId="142">
      <calculatedColumnFormula>'LICENCIAS Y PRODUCTOS 2025-03'!#REF!</calculatedColumnFormula>
    </tableColumn>
    <tableColumn id="13" xr3:uid="{749DCB19-E51B-41BB-943F-7568EBA7D5CD}" name="EE" dataDxfId="141">
      <calculatedColumnFormula>'LICENCIAS Y PRODUCTOS 2025-03'!#REF!</calculatedColumnFormula>
    </tableColumn>
    <tableColumn id="14" xr3:uid="{3BCDBFFB-8AFD-4BF8-989D-2FC0438BE3C0}" name="EL" dataDxfId="140">
      <calculatedColumnFormula>'LICENCIAS Y PRODUCTOS 2025-03'!#REF!</calculatedColumnFormula>
    </tableColumn>
    <tableColumn id="15" xr3:uid="{221A576C-D03B-44B6-AAC4-A5771C45B28D}" name="ES" dataDxfId="139">
      <calculatedColumnFormula>'LICENCIAS Y PRODUCTOS 2025-03'!#REF!</calculatedColumnFormula>
    </tableColumn>
    <tableColumn id="16" xr3:uid="{42A19154-2EF4-479F-9AE7-03620CF66030}" name="FI" dataDxfId="138">
      <calculatedColumnFormula>'LICENCIAS Y PRODUCTOS 2025-03'!#REF!</calculatedColumnFormula>
    </tableColumn>
    <tableColumn id="17" xr3:uid="{47AADAA3-43C6-4B76-90D8-C88154A12C29}" name="FR" dataDxfId="137">
      <calculatedColumnFormula>'LICENCIAS Y PRODUCTOS 2025-03'!#REF!</calculatedColumnFormula>
    </tableColumn>
    <tableColumn id="18" xr3:uid="{9EC98EE2-096A-4397-ACEA-47191085C642}" name="HR " dataDxfId="136">
      <calculatedColumnFormula>'LICENCIAS Y PRODUCTOS 2025-03'!#REF!</calculatedColumnFormula>
    </tableColumn>
    <tableColumn id="19" xr3:uid="{46A3E879-EE8E-4888-88C3-195D77C72F30}" name="HU" dataDxfId="135">
      <calculatedColumnFormula>'LICENCIAS Y PRODUCTOS 2025-03'!#REF!</calculatedColumnFormula>
    </tableColumn>
    <tableColumn id="20" xr3:uid="{E2291DEB-24C1-4180-B349-F309DCF2251F}" name="IE" dataDxfId="134">
      <calculatedColumnFormula>'LICENCIAS Y PRODUCTOS 2025-03'!#REF!</calculatedColumnFormula>
    </tableColumn>
    <tableColumn id="21" xr3:uid="{6153DF92-97F3-4354-B995-F4A90CFDCE95}" name="IS" dataDxfId="133">
      <calculatedColumnFormula>'LICENCIAS Y PRODUCTOS 2025-03'!#REF!</calculatedColumnFormula>
    </tableColumn>
    <tableColumn id="22" xr3:uid="{80CDBBA3-033E-4207-9199-353CCED13296}" name="IT" dataDxfId="132">
      <calculatedColumnFormula>'LICENCIAS Y PRODUCTOS 2025-03'!#REF!</calculatedColumnFormula>
    </tableColumn>
    <tableColumn id="23" xr3:uid="{C9B64717-0433-4A82-9510-9EE89FCD2B6A}" name="LT" dataDxfId="131">
      <calculatedColumnFormula>'LICENCIAS Y PRODUCTOS 2025-03'!#REF!</calculatedColumnFormula>
    </tableColumn>
    <tableColumn id="24" xr3:uid="{644AD6DB-B1E3-4625-899A-2E704528F281}" name="LU" dataDxfId="130">
      <calculatedColumnFormula>'LICENCIAS Y PRODUCTOS 2025-03'!#REF!</calculatedColumnFormula>
    </tableColumn>
    <tableColumn id="25" xr3:uid="{46CAF5B1-07EF-41F1-8221-0CB87D5F3B98}" name="LV" dataDxfId="129">
      <calculatedColumnFormula>'LICENCIAS Y PRODUCTOS 2025-03'!#REF!</calculatedColumnFormula>
    </tableColumn>
    <tableColumn id="26" xr3:uid="{1898D4E1-BE3A-43F7-89C5-877AE56763AF}" name="MT" dataDxfId="128">
      <calculatedColumnFormula>'LICENCIAS Y PRODUCTOS 2025-03'!#REF!</calculatedColumnFormula>
    </tableColumn>
    <tableColumn id="27" xr3:uid="{3AAAD2AE-2C3E-4D91-8621-C5DD7CD80DD1}" name="NL" dataDxfId="127">
      <calculatedColumnFormula>'LICENCIAS Y PRODUCTOS 2025-03'!#REF!</calculatedColumnFormula>
    </tableColumn>
    <tableColumn id="28" xr3:uid="{47207C08-8465-4172-987A-738D12DBF86C}" name="NO" dataDxfId="126">
      <calculatedColumnFormula>'LICENCIAS Y PRODUCTOS 2025-03'!#REF!</calculatedColumnFormula>
    </tableColumn>
    <tableColumn id="29" xr3:uid="{91E2D084-1A95-4CD4-B7A0-23953E57D430}" name="PL" dataDxfId="125">
      <calculatedColumnFormula>'LICENCIAS Y PRODUCTOS 2025-03'!#REF!</calculatedColumnFormula>
    </tableColumn>
    <tableColumn id="30" xr3:uid="{2BD05395-FE3F-4F39-B402-4BF83848A067}" name="PT" dataDxfId="124">
      <calculatedColumnFormula>'LICENCIAS Y PRODUCTOS 2025-03'!#REF!</calculatedColumnFormula>
    </tableColumn>
    <tableColumn id="31" xr3:uid="{37FF9883-CC79-4634-9F90-1D72E0143E3C}" name="RO" dataDxfId="123">
      <calculatedColumnFormula>'LICENCIAS Y PRODUCTOS 2025-03'!#REF!</calculatedColumnFormula>
    </tableColumn>
    <tableColumn id="32" xr3:uid="{21FFDA8A-2655-4AF7-8E86-93E03EDE79E7}" name="SE" dataDxfId="122">
      <calculatedColumnFormula>'LICENCIAS Y PRODUCTOS 2025-03'!#REF!</calculatedColumnFormula>
    </tableColumn>
    <tableColumn id="33" xr3:uid="{9024C7AF-AE07-4E3A-A05E-57E3B102AA74}" name="SI" dataDxfId="121">
      <calculatedColumnFormula>'LICENCIAS Y PRODUCTOS 2025-03'!#REF!</calculatedColumnFormula>
    </tableColumn>
    <tableColumn id="34" xr3:uid="{8D46DE5D-E152-493C-BF97-E02CACA4C7DC}" name="SK" dataDxfId="120">
      <calculatedColumnFormula>'LICENCIAS Y PRODUCTOS 2025-03'!#REF!</calculatedColumnFormula>
    </tableColumn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96791AD-58A0-4997-BE92-EB4720853C37}" name="Table145" displayName="Table145" ref="D34:AI60" totalsRowShown="0" headerRowDxfId="119" tableBorderDxfId="118">
  <autoFilter ref="D34:AI60" xr:uid="{00000000-0009-0000-0100-00000E000000}"/>
  <sortState ref="B35:AH60">
    <sortCondition ref="D35:D60" customList="030,047,020,015,038,019,06,039,052,016,017,044,022,35,021,049,014,048,027,046,037,028,011,004,051"/>
  </sortState>
  <tableColumns count="32">
    <tableColumn id="3" xr3:uid="{48CDA803-528D-49DF-9614-5D1B4A26B07B}" name="Category2" dataDxfId="117"/>
    <tableColumn id="4" xr3:uid="{0891656F-5DDD-4ADE-BE5B-0605CA40E2B8}" name="Product Group3" dataDxfId="116"/>
    <tableColumn id="5" xr3:uid="{C5836C2C-5C75-4424-B7AD-FE659729CFD2}" name="Product Group Code " dataDxfId="115"/>
    <tableColumn id="6" xr3:uid="{AA3F67B2-B1B8-4084-9476-531D73463EB7}" name="AT" dataDxfId="114">
      <calculatedColumnFormula>'LICENCIAS Y PRODUCTOS 2025-03'!#REF!</calculatedColumnFormula>
    </tableColumn>
    <tableColumn id="7" xr3:uid="{E1D7CAF4-DB49-4AD4-A23B-A39D43FDE704}" name="BE" dataDxfId="113">
      <calculatedColumnFormula>'LICENCIAS Y PRODUCTOS 2025-03'!#REF!</calculatedColumnFormula>
    </tableColumn>
    <tableColumn id="8" xr3:uid="{C49AD6A6-79BE-43D3-90C9-243C9CD804C1}" name="BG" dataDxfId="112">
      <calculatedColumnFormula>'LICENCIAS Y PRODUCTOS 2025-03'!#REF!</calculatedColumnFormula>
    </tableColumn>
    <tableColumn id="9" xr3:uid="{2D0D89AB-BDF8-4C9A-9E3C-B052053E261D}" name="CY" dataDxfId="111">
      <calculatedColumnFormula>'LICENCIAS Y PRODUCTOS 2025-03'!#REF!</calculatedColumnFormula>
    </tableColumn>
    <tableColumn id="10" xr3:uid="{0C31D4D5-DEC3-4B5D-A3E9-C808CB04C526}" name="CZ" dataDxfId="110">
      <calculatedColumnFormula>'LICENCIAS Y PRODUCTOS 2025-03'!#REF!</calculatedColumnFormula>
    </tableColumn>
    <tableColumn id="11" xr3:uid="{C18281C1-0A8C-4B72-8415-B7C86176763D}" name="DE" dataDxfId="109">
      <calculatedColumnFormula>'LICENCIAS Y PRODUCTOS 2025-03'!#REF!</calculatedColumnFormula>
    </tableColumn>
    <tableColumn id="12" xr3:uid="{4D064553-98F6-4F51-8BAF-BD5DE4CE2EB3}" name="DK" dataDxfId="108">
      <calculatedColumnFormula>'LICENCIAS Y PRODUCTOS 2025-03'!#REF!</calculatedColumnFormula>
    </tableColumn>
    <tableColumn id="13" xr3:uid="{6B6C3A3C-6684-4553-ACBF-13485B5B5AD8}" name="EE" dataDxfId="107">
      <calculatedColumnFormula>'LICENCIAS Y PRODUCTOS 2025-03'!#REF!</calculatedColumnFormula>
    </tableColumn>
    <tableColumn id="14" xr3:uid="{EA3B66AC-4AEC-4A5F-A96C-85A4ABE8B247}" name="EL" dataDxfId="106">
      <calculatedColumnFormula>'LICENCIAS Y PRODUCTOS 2025-03'!#REF!</calculatedColumnFormula>
    </tableColumn>
    <tableColumn id="15" xr3:uid="{BEED712C-5EF3-41C3-A232-D17C7DA432E8}" name="ES" dataDxfId="105">
      <calculatedColumnFormula>'LICENCIAS Y PRODUCTOS 2025-03'!#REF!</calculatedColumnFormula>
    </tableColumn>
    <tableColumn id="16" xr3:uid="{4CA706D7-FEE1-432C-9E38-1BCF31A340F8}" name="FI" dataDxfId="104">
      <calculatedColumnFormula>'LICENCIAS Y PRODUCTOS 2025-03'!#REF!</calculatedColumnFormula>
    </tableColumn>
    <tableColumn id="17" xr3:uid="{9AB3361E-E65C-41F4-BB0B-6A0B654109A1}" name="FR" dataDxfId="103">
      <calculatedColumnFormula>'LICENCIAS Y PRODUCTOS 2025-03'!#REF!</calculatedColumnFormula>
    </tableColumn>
    <tableColumn id="18" xr3:uid="{8CB162AA-2A94-4CF3-B778-554B6A3CC314}" name="HR" dataDxfId="102">
      <calculatedColumnFormula>'LICENCIAS Y PRODUCTOS 2025-03'!#REF!</calculatedColumnFormula>
    </tableColumn>
    <tableColumn id="19" xr3:uid="{DD304C21-40A8-4595-9199-C33C36673E38}" name="HU" dataDxfId="101">
      <calculatedColumnFormula>'LICENCIAS Y PRODUCTOS 2025-03'!#REF!</calculatedColumnFormula>
    </tableColumn>
    <tableColumn id="20" xr3:uid="{0A653F3D-291E-4CCC-8F69-A6E2D7BFC979}" name="IE" dataDxfId="100">
      <calculatedColumnFormula>'LICENCIAS Y PRODUCTOS 2025-03'!#REF!</calculatedColumnFormula>
    </tableColumn>
    <tableColumn id="21" xr3:uid="{C2D52C95-0620-4091-A5A1-2E193A50CE9C}" name="IS" dataDxfId="99">
      <calculatedColumnFormula>'LICENCIAS Y PRODUCTOS 2025-03'!#REF!</calculatedColumnFormula>
    </tableColumn>
    <tableColumn id="22" xr3:uid="{4D50CC12-713F-4F14-9B3E-D79BAFCB857C}" name="IT" dataDxfId="98">
      <calculatedColumnFormula>'LICENCIAS Y PRODUCTOS 2025-03'!#REF!</calculatedColumnFormula>
    </tableColumn>
    <tableColumn id="23" xr3:uid="{616F9315-2A7B-4097-A024-201E7E42A6A3}" name="LT" dataDxfId="97">
      <calculatedColumnFormula>'LICENCIAS Y PRODUCTOS 2025-03'!#REF!</calculatedColumnFormula>
    </tableColumn>
    <tableColumn id="24" xr3:uid="{5750594F-E2E5-4337-B77E-E4A44E2DFC81}" name="LU" dataDxfId="96">
      <calculatedColumnFormula>'LICENCIAS Y PRODUCTOS 2025-03'!#REF!</calculatedColumnFormula>
    </tableColumn>
    <tableColumn id="25" xr3:uid="{745D5CE7-20BD-4C55-B4A4-4BFB586CF76C}" name="LV" dataDxfId="95">
      <calculatedColumnFormula>'LICENCIAS Y PRODUCTOS 2025-03'!#REF!</calculatedColumnFormula>
    </tableColumn>
    <tableColumn id="26" xr3:uid="{6A2A7BB4-A519-4A55-BCDE-3F42A4894E1D}" name="MT" dataDxfId="94">
      <calculatedColumnFormula>'LICENCIAS Y PRODUCTOS 2025-03'!#REF!</calculatedColumnFormula>
    </tableColumn>
    <tableColumn id="27" xr3:uid="{14918CAB-4CD2-4DD8-BF0D-D6E3D47068DF}" name="NL" dataDxfId="93">
      <calculatedColumnFormula>'LICENCIAS Y PRODUCTOS 2025-03'!#REF!</calculatedColumnFormula>
    </tableColumn>
    <tableColumn id="28" xr3:uid="{695256DE-462F-4D7A-89E8-F282991A08D4}" name="NO" dataDxfId="92">
      <calculatedColumnFormula>'LICENCIAS Y PRODUCTOS 2025-03'!#REF!</calculatedColumnFormula>
    </tableColumn>
    <tableColumn id="29" xr3:uid="{DF905184-3B55-40FC-821F-47E30EA20E9D}" name="PL" dataDxfId="91">
      <calculatedColumnFormula>'LICENCIAS Y PRODUCTOS 2025-03'!#REF!</calculatedColumnFormula>
    </tableColumn>
    <tableColumn id="30" xr3:uid="{99BBD448-7596-465C-A069-F0ECB092BF6E}" name="PT" dataDxfId="90">
      <calculatedColumnFormula>'LICENCIAS Y PRODUCTOS 2025-03'!#REF!</calculatedColumnFormula>
    </tableColumn>
    <tableColumn id="31" xr3:uid="{5760948F-F2B7-44E2-AE79-379D48FBFE1E}" name="RO" dataDxfId="89">
      <calculatedColumnFormula>'LICENCIAS Y PRODUCTOS 2025-03'!#REF!</calculatedColumnFormula>
    </tableColumn>
    <tableColumn id="32" xr3:uid="{B081F056-CE16-4A21-AA76-94C5D4A00860}" name="SE" dataDxfId="88">
      <calculatedColumnFormula>'LICENCIAS Y PRODUCTOS 2025-03'!#REF!</calculatedColumnFormula>
    </tableColumn>
    <tableColumn id="33" xr3:uid="{EEF6BAC3-F9AA-405C-988E-4416BF4633DF}" name="SI" dataDxfId="87">
      <calculatedColumnFormula>'LICENCIAS Y PRODUCTOS 2025-03'!#REF!</calculatedColumnFormula>
    </tableColumn>
    <tableColumn id="34" xr3:uid="{74E1701E-E0FC-48C8-B13F-2EF0F8BA14D5}" name="SK" dataDxfId="86">
      <calculatedColumnFormula>'LICENCIAS Y PRODUCTOS 2025-03'!#REF!</calculatedColumnFormula>
    </tableColumn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8C8391-9CA2-4845-8924-154CA9C7313E}" name="Table1321344" displayName="Table1321344" ref="B3:AI29" totalsRowShown="0" headerRowDxfId="85" tableBorderDxfId="84">
  <autoFilter ref="B3:AI29" xr:uid="{00000000-0009-0000-0100-000002000000}"/>
  <tableColumns count="34">
    <tableColumn id="1" xr3:uid="{68EC8C10-B526-4C44-9E3F-932902446607}" name="Category" dataDxfId="83"/>
    <tableColumn id="2" xr3:uid="{BBB4713E-ED55-4C4C-8E64-0F8E4F12FAF6}" name="Product Group" dataDxfId="82"/>
    <tableColumn id="3" xr3:uid="{B66408F0-77DE-46AE-BFBB-647A4BC35AB9}" name="Product Group Code " dataDxfId="81"/>
    <tableColumn id="4" xr3:uid="{485CE113-DFD1-48E6-B715-EF1B9C0156AF}" name="AT" dataDxfId="80">
      <calculatedColumnFormula>IFERROR(VLOOKUP($C4,LicencesSep24!$C$2:$AF$27,3,FALSE),0)</calculatedColumnFormula>
    </tableColumn>
    <tableColumn id="5" xr3:uid="{13A88303-387C-41A3-BB06-458A000448EF}" name="BE" dataDxfId="79">
      <calculatedColumnFormula>IFERROR(VLOOKUP($C4,LicencesSep24!$C$3:$AF$27,4,FALSE),0)</calculatedColumnFormula>
    </tableColumn>
    <tableColumn id="6" xr3:uid="{0BFD61EE-F393-4BB7-B73A-359E65311DAF}" name="BG" dataDxfId="78">
      <calculatedColumnFormula>IFERROR(VLOOKUP($C4,LicencesSep24!$C$3:$AF$27,5,FALSE),0)</calculatedColumnFormula>
    </tableColumn>
    <tableColumn id="7" xr3:uid="{5B3A318C-5283-4E4C-AC6F-439A476ECF14}" name="CY" dataDxfId="77">
      <calculatedColumnFormula>IFERROR(VLOOKUP($C4,LicencesSep24!$C$3:$AF$27,6,FALSE),0)</calculatedColumnFormula>
    </tableColumn>
    <tableColumn id="8" xr3:uid="{F0E88EF0-5EA6-45F1-A7F9-0BF13574FE13}" name="CZ" dataDxfId="76">
      <calculatedColumnFormula>IFERROR(VLOOKUP($C4,LicencesSep24!$C$3:$AF$27,7,FALSE),0)</calculatedColumnFormula>
    </tableColumn>
    <tableColumn id="9" xr3:uid="{1CD759FD-C94A-41A5-9A84-A032FD3FCB91}" name="DE" dataDxfId="75">
      <calculatedColumnFormula>IFERROR(VLOOKUP($C4,LicencesSep24!$C$3:$AF$27,8,FALSE),0)</calculatedColumnFormula>
    </tableColumn>
    <tableColumn id="10" xr3:uid="{AD1E7D8B-6E8B-423E-85A6-4F559DB58D89}" name="DK" dataDxfId="74">
      <calculatedColumnFormula>IFERROR(VLOOKUP($C4,LicencesSep24!$C$3:$AF$27,9,FALSE),0)</calculatedColumnFormula>
    </tableColumn>
    <tableColumn id="11" xr3:uid="{889F89DC-ABEB-4B9D-8C5A-82F3E200E146}" name="EE" dataDxfId="73">
      <calculatedColumnFormula>IFERROR(VLOOKUP($C4,LicencesSep24!$C$3:$AF$27,10,FALSE),0)</calculatedColumnFormula>
    </tableColumn>
    <tableColumn id="12" xr3:uid="{094481ED-28C3-4EF9-BBAE-6B5AEFBDC10D}" name="EL" dataDxfId="72">
      <calculatedColumnFormula>IFERROR(VLOOKUP($C4,LicencesSep24!$C$3:$AF$27,14,FALSE),0)</calculatedColumnFormula>
    </tableColumn>
    <tableColumn id="13" xr3:uid="{3B578A34-8CA1-4FC7-8716-1DB2D7AB9454}" name="ES" dataDxfId="71">
      <calculatedColumnFormula>IFERROR(VLOOKUP($C4,LicencesSep24!$C$3:$AF$27,11,FALSE),0)</calculatedColumnFormula>
    </tableColumn>
    <tableColumn id="14" xr3:uid="{EEDD430B-E813-499A-A663-AD4C1D84562E}" name="FI" dataDxfId="70">
      <calculatedColumnFormula>IFERROR(VLOOKUP($C4,LicencesSep24!$C$3:$AF$27,12,FALSE),0)</calculatedColumnFormula>
    </tableColumn>
    <tableColumn id="15" xr3:uid="{6A6C4E5C-2652-4578-B724-4057B9EC109D}" name="FR" dataDxfId="69">
      <calculatedColumnFormula>IFERROR(VLOOKUP($C4,LicencesSep24!$C$3:$AF$27,13,FALSE),0)</calculatedColumnFormula>
    </tableColumn>
    <tableColumn id="16" xr3:uid="{6CA4031C-18FB-40B3-B09C-FF18053C6545}" name="HR " dataDxfId="68">
      <calculatedColumnFormula>IFERROR(VLOOKUP($C4,LicencesSep24!$C$3:$AF$27,15,FALSE),0)</calculatedColumnFormula>
    </tableColumn>
    <tableColumn id="17" xr3:uid="{25906C91-7482-40B9-887E-C1DE47290F97}" name="HU" dataDxfId="67">
      <calculatedColumnFormula>IFERROR(VLOOKUP($C4,LicencesSep24!$C$3:$AF$27,16,FALSE),0)</calculatedColumnFormula>
    </tableColumn>
    <tableColumn id="18" xr3:uid="{EC94F79A-94B9-4BCE-AE1D-34AA8F94238F}" name="IE" dataDxfId="66">
      <calculatedColumnFormula>IFERROR(VLOOKUP($C4,LicencesSep24!$C$3:$AF$27,17,FALSE),0)</calculatedColumnFormula>
    </tableColumn>
    <tableColumn id="19" xr3:uid="{8BB26CFB-277A-416A-BC23-7E40FB2BDD71}" name="IS" dataDxfId="65">
      <calculatedColumnFormula>IFERROR(VLOOKUP($C4,#REF!,19,FALSE),0)</calculatedColumnFormula>
    </tableColumn>
    <tableColumn id="20" xr3:uid="{C300C141-4441-41FC-A320-413F680D045C}" name="IT" dataDxfId="64">
      <calculatedColumnFormula>IFERROR(VLOOKUP($C4,LicencesSep24!$C$3:$AF$27,18,FALSE),0)</calculatedColumnFormula>
    </tableColumn>
    <tableColumn id="21" xr3:uid="{2AD7245C-05DF-4899-A27A-AFC63106E032}" name="LT" dataDxfId="63">
      <calculatedColumnFormula>IFERROR(VLOOKUP($C4,LicencesSep24!$C$3:$AF$27,19,FALSE),0)</calculatedColumnFormula>
    </tableColumn>
    <tableColumn id="22" xr3:uid="{D0CBAAE7-FE3A-431E-8CE2-686A83681142}" name="LU" dataDxfId="62">
      <calculatedColumnFormula>IFERROR(VLOOKUP($C4,LicencesSep24!$C$3:$AF$27,20,FALSE),0)</calculatedColumnFormula>
    </tableColumn>
    <tableColumn id="23" xr3:uid="{9BDC85F7-55F4-421B-8437-3FE4833CC56B}" name="LV" dataDxfId="61">
      <calculatedColumnFormula>IFERROR(VLOOKUP($C4,LicencesSep24!$C$3:$AF$27,21,FALSE),0)</calculatedColumnFormula>
    </tableColumn>
    <tableColumn id="24" xr3:uid="{4B2A96AD-4B7A-435B-B305-FA72FE00E18B}" name="MT" dataDxfId="60">
      <calculatedColumnFormula>IFERROR(VLOOKUP($C4,LicencesSep24!$C$3:$AF$27,22,FALSE),0)</calculatedColumnFormula>
    </tableColumn>
    <tableColumn id="25" xr3:uid="{1834B296-CDC5-4576-B41C-A24781F83A93}" name="NL" dataDxfId="59">
      <calculatedColumnFormula>IFERROR(VLOOKUP($C4,LicencesSep24!$C$3:$AF$27,23,FALSE),0)</calculatedColumnFormula>
    </tableColumn>
    <tableColumn id="26" xr3:uid="{695D429B-86E4-4F08-8BFB-920E976EA51F}" name="NO" dataDxfId="58">
      <calculatedColumnFormula>IFERROR(VLOOKUP($C4,LicencesSep24!$C$3:$AF$27,24,FALSE),0)</calculatedColumnFormula>
    </tableColumn>
    <tableColumn id="27" xr3:uid="{63169320-4B41-4BB8-963B-14C4B952FF59}" name="PL" dataDxfId="57">
      <calculatedColumnFormula>IFERROR(VLOOKUP($C4,LicencesSep24!$C$3:$AF$27,25,FALSE),0)</calculatedColumnFormula>
    </tableColumn>
    <tableColumn id="28" xr3:uid="{39B3F012-7352-4296-94FE-FDD5EF400B31}" name="PT" dataDxfId="56">
      <calculatedColumnFormula>IFERROR(VLOOKUP($C4,LicencesSep24!$C$3:$AF$27,26,FALSE),0)</calculatedColumnFormula>
    </tableColumn>
    <tableColumn id="29" xr3:uid="{0790020F-BD1D-4539-9C54-E9C3ECA1BF0F}" name="RO" dataDxfId="55">
      <calculatedColumnFormula>IFERROR(VLOOKUP($C4,LicencesSep24!$C$3:$AF$27,27,FALSE),0)</calculatedColumnFormula>
    </tableColumn>
    <tableColumn id="30" xr3:uid="{DF52AF4D-3BEE-4A47-9AAD-B3BD1E0D5D10}" name="SE" dataDxfId="54">
      <calculatedColumnFormula>IFERROR(VLOOKUP($C4,LicencesSep24!$C$3:$AF$27,28,FALSE),0)</calculatedColumnFormula>
    </tableColumn>
    <tableColumn id="31" xr3:uid="{54781814-D199-46CF-BC2F-3C2A801EC3B0}" name="SI" dataDxfId="53">
      <calculatedColumnFormula>IFERROR(VLOOKUP($C4,LicencesSep24!$C$3:$AF$27,29,FALSE),0)</calculatedColumnFormula>
    </tableColumn>
    <tableColumn id="32" xr3:uid="{86AA7411-CDBD-4426-8C86-E2B4B70A9F7A}" name="SK" dataDxfId="52">
      <calculatedColumnFormula>IFERROR(VLOOKUP($C4,LicencesSep24!$C$3:$AF$27,30,FALSE),0)</calculatedColumnFormula>
    </tableColumn>
    <tableColumn id="33" xr3:uid="{80772091-EAC4-4F99-941A-6DCCF6DEFE4B}" name="GB-NIR" dataDxfId="51">
      <calculatedColumnFormula>IFERROR(VLOOKUP($C4,#REF!,32,FALSE),0)</calculatedColumnFormula>
    </tableColumn>
    <tableColumn id="34" xr3:uid="{A7F6B571-6FDB-472F-A8E2-84DBC346F1F8}" name="-" dataDxfId="50"/>
  </tableColumns>
  <tableStyleInfo name="Table Style 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E9A1EE-8B08-472E-993B-D4CCAFFA02AF}" name="Table14224553" displayName="Table14224553" ref="B34:AI60" totalsRowShown="0" headerRowDxfId="49" tableBorderDxfId="48">
  <autoFilter ref="B34:AI60" xr:uid="{00000000-0009-0000-0100-000003000000}"/>
  <tableColumns count="34">
    <tableColumn id="1" xr3:uid="{FD73B917-7F04-4A26-9ED8-8A91A0207AD0}" name="Category" dataDxfId="47"/>
    <tableColumn id="2" xr3:uid="{9ED41D00-C8FB-41AD-A71B-A3CE3A5830D2}" name="Product Group" dataDxfId="46"/>
    <tableColumn id="3" xr3:uid="{CF5BDB05-7B24-4803-BD17-49D3CB2477D8}" name="Product Group Code " dataDxfId="45"/>
    <tableColumn id="4" xr3:uid="{7DB0B2BB-445B-45B3-A850-8126D09936FD}" name="AT" dataDxfId="44">
      <calculatedColumnFormula>IFERROR(VLOOKUP($C35,ProductsMar24!$C$3:$AG$27,4,FALSE),0)</calculatedColumnFormula>
    </tableColumn>
    <tableColumn id="5" xr3:uid="{DE507B5F-0DB3-4CDB-9415-333D611D0BD7}" name="BE" dataDxfId="43">
      <calculatedColumnFormula>IFERROR(VLOOKUP($C35,#REF!,5,FALSE),0)</calculatedColumnFormula>
    </tableColumn>
    <tableColumn id="6" xr3:uid="{E02666F6-4FC6-4443-8EB1-239AF72BBF99}" name="BG" dataDxfId="42">
      <calculatedColumnFormula>IFERROR(VLOOKUP($C35,#REF!,6,FALSE),0)</calculatedColumnFormula>
    </tableColumn>
    <tableColumn id="7" xr3:uid="{F8CFD1CA-59EF-4D18-823D-AB8B261460D4}" name="CY" dataDxfId="41">
      <calculatedColumnFormula>IFERROR(VLOOKUP($C35,#REF!,7,FALSE),0)</calculatedColumnFormula>
    </tableColumn>
    <tableColumn id="8" xr3:uid="{5A339730-1373-4BC4-B4B4-3CD669E6825A}" name="CZ" dataDxfId="40">
      <calculatedColumnFormula>IFERROR(VLOOKUP($C35,#REF!,8,FALSE),0)</calculatedColumnFormula>
    </tableColumn>
    <tableColumn id="9" xr3:uid="{9B59F820-B382-455C-87E8-76FE78C285E9}" name="DE" dataDxfId="39">
      <calculatedColumnFormula>IFERROR(VLOOKUP($C35,#REF!,9,FALSE),0)</calculatedColumnFormula>
    </tableColumn>
    <tableColumn id="10" xr3:uid="{052F7435-0CD3-45BC-B175-3C5B3AA7CF7C}" name="DK" dataDxfId="38">
      <calculatedColumnFormula>IFERROR(VLOOKUP($C35,#REF!,10,FALSE),0)</calculatedColumnFormula>
    </tableColumn>
    <tableColumn id="11" xr3:uid="{AF4471E5-2CD5-41E0-802B-FD7AB8E2EF3C}" name="EE" dataDxfId="37">
      <calculatedColumnFormula>IFERROR(VLOOKUP($C35,#REF!,11,FALSE),0)</calculatedColumnFormula>
    </tableColumn>
    <tableColumn id="12" xr3:uid="{C57E8608-6C7C-4E1E-980D-97825F1A754E}" name="EL" dataDxfId="36">
      <calculatedColumnFormula>IFERROR(VLOOKUP($C35,#REF!,15,FALSE),0)</calculatedColumnFormula>
    </tableColumn>
    <tableColumn id="13" xr3:uid="{83D3C27C-0434-41F7-BBB0-6347DC2CAC2A}" name="ES" dataDxfId="35">
      <calculatedColumnFormula>IFERROR(VLOOKUP($C35,#REF!,12,FALSE),0)</calculatedColumnFormula>
    </tableColumn>
    <tableColumn id="14" xr3:uid="{87629DE8-70DA-419B-BC17-66F5B3DCD9BB}" name="FI" dataDxfId="34">
      <calculatedColumnFormula>IFERROR(VLOOKUP($C35,#REF!,13,FALSE),0)</calculatedColumnFormula>
    </tableColumn>
    <tableColumn id="15" xr3:uid="{90A5CE0D-A25E-4FD6-B3CF-C6398AB54810}" name="FR" dataDxfId="33">
      <calculatedColumnFormula>IFERROR(VLOOKUP($C35,#REF!,14,FALSE),0)</calculatedColumnFormula>
    </tableColumn>
    <tableColumn id="16" xr3:uid="{F76A4003-A223-466F-9CDC-A81972DDB953}" name="HR " dataDxfId="32">
      <calculatedColumnFormula>IFERROR(VLOOKUP($C35,#REF!,16,FALSE),0)</calculatedColumnFormula>
    </tableColumn>
    <tableColumn id="17" xr3:uid="{FEDFB5DC-E8E6-41DB-8848-D16882279AB0}" name="HU" dataDxfId="31">
      <calculatedColumnFormula>IFERROR(VLOOKUP($C35,#REF!,17,FALSE),0)</calculatedColumnFormula>
    </tableColumn>
    <tableColumn id="18" xr3:uid="{FBB1A9A5-9364-48B1-B037-D7691175CF19}" name="IE" dataDxfId="30">
      <calculatedColumnFormula>IFERROR(VLOOKUP($C35,#REF!,18,FALSE),0)</calculatedColumnFormula>
    </tableColumn>
    <tableColumn id="19" xr3:uid="{40C3D0AC-328A-49AA-96EF-1B890BFA1E43}" name="IS" dataDxfId="29"/>
    <tableColumn id="20" xr3:uid="{5879CDAB-DCF1-44B2-A474-64553178FF90}" name="IT" dataDxfId="28">
      <calculatedColumnFormula>IFERROR(VLOOKUP($C35,#REF!,19,FALSE),0)</calculatedColumnFormula>
    </tableColumn>
    <tableColumn id="21" xr3:uid="{34AE76D4-5079-47D2-B698-20538C850EF1}" name="LT" dataDxfId="27">
      <calculatedColumnFormula>IFERROR(VLOOKUP($C35,#REF!,20,FALSE),0)</calculatedColumnFormula>
    </tableColumn>
    <tableColumn id="22" xr3:uid="{0D880C17-DADE-4116-822F-A3BD7E2BE9A8}" name="LU" dataDxfId="26">
      <calculatedColumnFormula>IFERROR(VLOOKUP($C35,#REF!,21,FALSE),0)</calculatedColumnFormula>
    </tableColumn>
    <tableColumn id="23" xr3:uid="{897C5EF8-A8E3-4EA6-A72A-798E4B8A16B7}" name="LV" dataDxfId="25">
      <calculatedColumnFormula>IFERROR(VLOOKUP($C35,#REF!,22,FALSE),0)</calculatedColumnFormula>
    </tableColumn>
    <tableColumn id="24" xr3:uid="{A62B2060-03E5-4F04-9793-17410C5FF46B}" name="MT" dataDxfId="24">
      <calculatedColumnFormula>IFERROR(VLOOKUP($C35,#REF!,23,FALSE),0)</calculatedColumnFormula>
    </tableColumn>
    <tableColumn id="25" xr3:uid="{62FD7E65-EBC5-4606-A2C8-F75915FD5CE4}" name="NL" dataDxfId="23">
      <calculatedColumnFormula>IFERROR(VLOOKUP($C35,#REF!,24,FALSE),0)</calculatedColumnFormula>
    </tableColumn>
    <tableColumn id="26" xr3:uid="{C110BF08-D24A-4A1D-A72C-88AD16BF3447}" name="NO" dataDxfId="22">
      <calculatedColumnFormula>IFERROR(VLOOKUP($C35,#REF!,25,FALSE),0)</calculatedColumnFormula>
    </tableColumn>
    <tableColumn id="27" xr3:uid="{99C65F3F-3404-4C4E-A2AE-91E51B6D09EA}" name="PL" dataDxfId="21">
      <calculatedColumnFormula>IFERROR(VLOOKUP($C35,#REF!,26,FALSE),0)</calculatedColumnFormula>
    </tableColumn>
    <tableColumn id="28" xr3:uid="{125ECC91-6E8F-4082-A2E6-59B6407CDDA6}" name="PT" dataDxfId="20">
      <calculatedColumnFormula>IFERROR(VLOOKUP($C35,#REF!,27,FALSE),0)</calculatedColumnFormula>
    </tableColumn>
    <tableColumn id="29" xr3:uid="{678D4CF4-D7B0-4692-AF96-09F9D4BF4B54}" name="RO" dataDxfId="19">
      <calculatedColumnFormula>IFERROR(VLOOKUP($C35,#REF!,28,FALSE),0)</calculatedColumnFormula>
    </tableColumn>
    <tableColumn id="30" xr3:uid="{AF29D338-8C3E-4D15-A199-1E29699A5912}" name="SE" dataDxfId="18">
      <calculatedColumnFormula>IFERROR(VLOOKUP($C35,#REF!,29,FALSE),0)</calculatedColumnFormula>
    </tableColumn>
    <tableColumn id="31" xr3:uid="{3B01A8FB-AC24-4980-A1CC-2B15EA822E92}" name="SI" dataDxfId="17">
      <calculatedColumnFormula>IFERROR(VLOOKUP($C35,#REF!,30,FALSE),0)</calculatedColumnFormula>
    </tableColumn>
    <tableColumn id="32" xr3:uid="{645BC887-D26F-40F6-B5D4-FB68B2A2FE79}" name="SK" dataDxfId="16">
      <calculatedColumnFormula>IFERROR(VLOOKUP($C35, ProductsMar24!$C$3:$AG$27,31,FALSE),0)</calculatedColumnFormula>
    </tableColumn>
    <tableColumn id="33" xr3:uid="{ED6201E5-D7B1-4230-B0C9-D9FA28FA413F}" name="GB-NIR" dataDxfId="15">
      <calculatedColumnFormula>IFERROR(VLOOKUP($C35,#REF!,4,FALSE),0)</calculatedColumnFormula>
    </tableColumn>
    <tableColumn id="34" xr3:uid="{3A6B0DB0-60E2-48F8-8944-200F20B6B22D}" name="NI" dataDxfId="14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eur-lex.europa.eu/legal-content/EN/TXT/?uri=CELEX:32011D0333" TargetMode="External"/><Relationship Id="rId2" Type="http://schemas.openxmlformats.org/officeDocument/2006/relationships/hyperlink" Target="http://eur-lex.europa.eu/legal-content/EN/TXT/?uri=CELEX:32009D0568(01)" TargetMode="External"/><Relationship Id="rId1" Type="http://schemas.openxmlformats.org/officeDocument/2006/relationships/hyperlink" Target="http://eur-lex.europa.eu/legal-content/EN/TXT/?uri=uriserv:OJ.L_.2017.028.01.0009.01.ENG&amp;toc=OJ:L:2017:028:TOC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://eur-lex.europa.eu/legal-content/EN/TXT/?uri=uriserv:OJ.L_.2017.028.01.0009.01.ENG&amp;toc=OJ:L:2017:028:TOC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://eur-lex.europa.eu/legal-content/EN/TXT/?uri=CELEX:32009D0568(01)" TargetMode="External"/><Relationship Id="rId1" Type="http://schemas.openxmlformats.org/officeDocument/2006/relationships/hyperlink" Target="http://eur-lex.europa.eu/legal-content/EN/TXT/?uri=CELEX:32011D0333" TargetMode="External"/><Relationship Id="rId6" Type="http://schemas.openxmlformats.org/officeDocument/2006/relationships/hyperlink" Target="http://eur-lex.europa.eu/legal-content/EN/TXT/?uri=uriserv:OJ.L_.2017.028.01.0009.01.ENG&amp;toc=OJ:L:2017:028:TOC" TargetMode="External"/><Relationship Id="rId5" Type="http://schemas.openxmlformats.org/officeDocument/2006/relationships/hyperlink" Target="http://eur-lex.europa.eu/legal-content/EN/TXT/?uri=CELEX:32009D0568(01)" TargetMode="External"/><Relationship Id="rId4" Type="http://schemas.openxmlformats.org/officeDocument/2006/relationships/hyperlink" Target="http://eur-lex.europa.eu/legal-content/EN/TXT/?uri=CELEX:32011D0333" TargetMode="External"/><Relationship Id="rId9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eur-lex.europa.eu/legal-content/EN/TXT/?uri=uriserv:OJ.L_.2017.028.01.0009.01.ENG&amp;toc=OJ:L:2017:028:TOC" TargetMode="External"/><Relationship Id="rId7" Type="http://schemas.openxmlformats.org/officeDocument/2006/relationships/hyperlink" Target="http://ec.europa.eu/environment/ecolabel/products-groups-and-criteria.html" TargetMode="External"/><Relationship Id="rId2" Type="http://schemas.openxmlformats.org/officeDocument/2006/relationships/hyperlink" Target="http://eur-lex.europa.eu/legal-content/EN/TXT/?uri=CELEX:32009D0568(01)" TargetMode="External"/><Relationship Id="rId1" Type="http://schemas.openxmlformats.org/officeDocument/2006/relationships/hyperlink" Target="http://eur-lex.europa.eu/legal-content/EN/TXT/?uri=CELEX:32011D0333" TargetMode="External"/><Relationship Id="rId6" Type="http://schemas.openxmlformats.org/officeDocument/2006/relationships/hyperlink" Target="http://eur-lex.europa.eu/legal-content/EN/TXT/?uri=uriserv:OJ.L_.2017.028.01.0009.01.ENG&amp;toc=OJ:L:2017:028:TOC" TargetMode="External"/><Relationship Id="rId5" Type="http://schemas.openxmlformats.org/officeDocument/2006/relationships/hyperlink" Target="http://eur-lex.europa.eu/legal-content/EN/TXT/?uri=CELEX:32009D0568(01)" TargetMode="External"/><Relationship Id="rId10" Type="http://schemas.openxmlformats.org/officeDocument/2006/relationships/table" Target="../tables/table4.xml"/><Relationship Id="rId4" Type="http://schemas.openxmlformats.org/officeDocument/2006/relationships/hyperlink" Target="http://eur-lex.europa.eu/legal-content/EN/TXT/?uri=CELEX:32011D0333" TargetMode="External"/><Relationship Id="rId9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hyperlink" Target="http://eur-lex.europa.eu/legal-content/EN/TXT/?uri=uriserv:OJ.L_.2017.028.01.0009.01.ENG&amp;toc=OJ:L:2017:028:TOC" TargetMode="External"/><Relationship Id="rId7" Type="http://schemas.openxmlformats.org/officeDocument/2006/relationships/printerSettings" Target="../printerSettings/printerSettings7.bin"/><Relationship Id="rId2" Type="http://schemas.openxmlformats.org/officeDocument/2006/relationships/hyperlink" Target="http://eur-lex.europa.eu/legal-content/EN/TXT/?uri=CELEX:32009D0568(01)" TargetMode="External"/><Relationship Id="rId1" Type="http://schemas.openxmlformats.org/officeDocument/2006/relationships/hyperlink" Target="http://eur-lex.europa.eu/legal-content/EN/TXT/?uri=CELEX:32011D0333" TargetMode="External"/><Relationship Id="rId6" Type="http://schemas.openxmlformats.org/officeDocument/2006/relationships/hyperlink" Target="http://eur-lex.europa.eu/legal-content/EN/TXT/?uri=CELEX:32009D0568(01)" TargetMode="External"/><Relationship Id="rId5" Type="http://schemas.openxmlformats.org/officeDocument/2006/relationships/hyperlink" Target="http://eur-lex.europa.eu/legal-content/EN/TXT/?uri=CELEX:32011D0333" TargetMode="External"/><Relationship Id="rId4" Type="http://schemas.openxmlformats.org/officeDocument/2006/relationships/hyperlink" Target="http://eur-lex.europa.eu/legal-content/EN/TXT/?uri=uriserv:OJ.L_.2017.028.01.0009.01.ENG&amp;toc=OJ:L:2017:028:TOC" TargetMode="External"/><Relationship Id="rId9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eur-lex.europa.eu/legal-content/EN/TXT/?uri=uriserv:OJ.L_.2017.028.01.0009.01.ENG&amp;toc=OJ:L:2017:028:TOC" TargetMode="External"/><Relationship Id="rId7" Type="http://schemas.openxmlformats.org/officeDocument/2006/relationships/printerSettings" Target="../printerSettings/printerSettings8.bin"/><Relationship Id="rId2" Type="http://schemas.openxmlformats.org/officeDocument/2006/relationships/hyperlink" Target="http://eur-lex.europa.eu/legal-content/EN/TXT/?uri=CELEX:32009D0568(01)" TargetMode="External"/><Relationship Id="rId1" Type="http://schemas.openxmlformats.org/officeDocument/2006/relationships/hyperlink" Target="http://eur-lex.europa.eu/legal-content/EN/TXT/?uri=CELEX:32011D0333" TargetMode="External"/><Relationship Id="rId6" Type="http://schemas.openxmlformats.org/officeDocument/2006/relationships/hyperlink" Target="http://eur-lex.europa.eu/legal-content/EN/TXT/?uri=CELEX:32009D0568(01)" TargetMode="External"/><Relationship Id="rId5" Type="http://schemas.openxmlformats.org/officeDocument/2006/relationships/hyperlink" Target="http://eur-lex.europa.eu/legal-content/EN/TXT/?uri=CELEX:32011D0333" TargetMode="External"/><Relationship Id="rId4" Type="http://schemas.openxmlformats.org/officeDocument/2006/relationships/hyperlink" Target="http://eur-lex.europa.eu/legal-content/EN/TXT/?uri=uriserv:OJ.L_.2017.028.01.0009.01.ENG&amp;toc=OJ:L:2017:028:T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zoomScaleNormal="100" workbookViewId="0">
      <selection activeCell="B21" sqref="B21"/>
    </sheetView>
  </sheetViews>
  <sheetFormatPr baseColWidth="10" defaultColWidth="8.5703125" defaultRowHeight="15"/>
  <cols>
    <col min="1" max="1" width="14.28515625" bestFit="1" customWidth="1"/>
    <col min="2" max="2" width="14" bestFit="1" customWidth="1"/>
    <col min="3" max="3" width="18" customWidth="1"/>
    <col min="4" max="4" width="32.7109375" customWidth="1"/>
  </cols>
  <sheetData>
    <row r="1" spans="1:6">
      <c r="B1" t="s">
        <v>184</v>
      </c>
    </row>
    <row r="2" spans="1:6" s="17" customFormat="1" ht="65.650000000000006" customHeight="1">
      <c r="A2" s="29" t="s">
        <v>117</v>
      </c>
      <c r="B2" s="29" t="s">
        <v>118</v>
      </c>
      <c r="C2" s="29" t="s">
        <v>175</v>
      </c>
      <c r="D2" s="29" t="s">
        <v>174</v>
      </c>
    </row>
    <row r="3" spans="1:6">
      <c r="A3" s="30" t="s">
        <v>64</v>
      </c>
      <c r="B3" s="31" t="s">
        <v>233</v>
      </c>
      <c r="C3" s="32" t="s">
        <v>230</v>
      </c>
      <c r="D3" s="32"/>
    </row>
    <row r="4" spans="1:6">
      <c r="A4" s="30" t="s">
        <v>66</v>
      </c>
      <c r="B4" s="31" t="s">
        <v>233</v>
      </c>
      <c r="C4" s="32"/>
      <c r="D4" s="31"/>
    </row>
    <row r="5" spans="1:6">
      <c r="A5" s="30" t="s">
        <v>68</v>
      </c>
      <c r="B5" s="32" t="s">
        <v>233</v>
      </c>
      <c r="C5" s="32"/>
      <c r="D5" s="32"/>
      <c r="F5" s="36"/>
    </row>
    <row r="6" spans="1:6">
      <c r="A6" s="30" t="s">
        <v>70</v>
      </c>
      <c r="B6" s="31" t="s">
        <v>233</v>
      </c>
      <c r="C6" s="32"/>
      <c r="D6" s="32"/>
    </row>
    <row r="7" spans="1:6">
      <c r="A7" s="33" t="s">
        <v>71</v>
      </c>
      <c r="B7" s="34" t="s">
        <v>233</v>
      </c>
      <c r="C7" s="32"/>
      <c r="D7" s="35"/>
    </row>
    <row r="8" spans="1:6">
      <c r="A8" s="33" t="s">
        <v>73</v>
      </c>
      <c r="B8" s="31" t="s">
        <v>233</v>
      </c>
      <c r="C8" s="32"/>
      <c r="D8" s="35"/>
    </row>
    <row r="9" spans="1:6">
      <c r="A9" s="30" t="s">
        <v>75</v>
      </c>
      <c r="B9" s="31" t="s">
        <v>233</v>
      </c>
      <c r="C9" s="32"/>
      <c r="D9" s="32"/>
    </row>
    <row r="10" spans="1:6">
      <c r="A10" s="30" t="s">
        <v>78</v>
      </c>
      <c r="B10" s="32" t="s">
        <v>233</v>
      </c>
      <c r="C10" s="32"/>
      <c r="D10" s="32"/>
    </row>
    <row r="11" spans="1:6">
      <c r="A11" s="30" t="s">
        <v>77</v>
      </c>
      <c r="B11" s="31" t="s">
        <v>233</v>
      </c>
      <c r="C11" s="32"/>
      <c r="D11" s="31"/>
      <c r="F11" s="37"/>
    </row>
    <row r="12" spans="1:6">
      <c r="A12" s="30" t="s">
        <v>31</v>
      </c>
      <c r="B12" s="31" t="s">
        <v>233</v>
      </c>
      <c r="C12" s="32"/>
      <c r="D12" s="31"/>
    </row>
    <row r="13" spans="1:6">
      <c r="A13" s="30" t="s">
        <v>69</v>
      </c>
      <c r="B13" s="31" t="s">
        <v>233</v>
      </c>
      <c r="C13" s="32"/>
      <c r="D13" s="32"/>
    </row>
    <row r="14" spans="1:6">
      <c r="A14" s="30" t="s">
        <v>72</v>
      </c>
      <c r="B14" s="31" t="s">
        <v>233</v>
      </c>
      <c r="C14" s="32"/>
      <c r="D14" s="32"/>
      <c r="E14" s="17"/>
      <c r="F14" s="36"/>
    </row>
    <row r="15" spans="1:6">
      <c r="A15" s="110" t="s">
        <v>81</v>
      </c>
      <c r="B15" s="32" t="s">
        <v>233</v>
      </c>
      <c r="C15" s="32"/>
      <c r="D15" s="32"/>
    </row>
    <row r="16" spans="1:6">
      <c r="A16" s="30" t="s">
        <v>82</v>
      </c>
      <c r="B16" s="31" t="s">
        <v>233</v>
      </c>
      <c r="C16" s="32" t="s">
        <v>230</v>
      </c>
      <c r="D16" s="32" t="s">
        <v>230</v>
      </c>
    </row>
    <row r="17" spans="1:6">
      <c r="A17" s="30" t="s">
        <v>83</v>
      </c>
      <c r="B17" s="31" t="s">
        <v>233</v>
      </c>
      <c r="C17" s="32" t="s">
        <v>230</v>
      </c>
      <c r="D17" s="32" t="s">
        <v>230</v>
      </c>
    </row>
    <row r="18" spans="1:6">
      <c r="A18" s="30" t="s">
        <v>67</v>
      </c>
      <c r="B18" s="31" t="s">
        <v>233</v>
      </c>
      <c r="C18" s="32"/>
      <c r="D18" s="31"/>
    </row>
    <row r="19" spans="1:6">
      <c r="A19" s="30" t="s">
        <v>86</v>
      </c>
      <c r="B19" s="31" t="s">
        <v>233</v>
      </c>
      <c r="C19" s="32"/>
      <c r="D19" s="32"/>
    </row>
    <row r="20" spans="1:6">
      <c r="A20" s="30" t="s">
        <v>85</v>
      </c>
      <c r="B20" s="31" t="s">
        <v>233</v>
      </c>
      <c r="C20" s="32" t="s">
        <v>230</v>
      </c>
      <c r="D20" s="32" t="s">
        <v>230</v>
      </c>
      <c r="F20" s="37"/>
    </row>
    <row r="21" spans="1:6">
      <c r="A21" s="30" t="s">
        <v>32</v>
      </c>
      <c r="B21" s="31" t="s">
        <v>233</v>
      </c>
      <c r="C21" s="32"/>
      <c r="D21" s="32"/>
    </row>
    <row r="22" spans="1:6">
      <c r="A22" s="30" t="s">
        <v>89</v>
      </c>
      <c r="B22" s="31" t="s">
        <v>233</v>
      </c>
      <c r="C22" s="32"/>
      <c r="D22" s="31"/>
    </row>
    <row r="23" spans="1:6">
      <c r="A23" s="30" t="s">
        <v>76</v>
      </c>
      <c r="B23" s="32" t="s">
        <v>233</v>
      </c>
      <c r="C23" s="32"/>
      <c r="D23" s="32"/>
    </row>
    <row r="24" spans="1:6">
      <c r="A24" s="30" t="s">
        <v>88</v>
      </c>
      <c r="B24" s="32" t="s">
        <v>233</v>
      </c>
      <c r="C24" s="32"/>
      <c r="D24" s="31"/>
    </row>
    <row r="25" spans="1:6">
      <c r="A25" s="30" t="s">
        <v>79</v>
      </c>
      <c r="B25" s="32" t="s">
        <v>233</v>
      </c>
      <c r="C25" s="32"/>
      <c r="D25" s="32"/>
    </row>
    <row r="26" spans="1:6">
      <c r="A26" s="30" t="s">
        <v>80</v>
      </c>
      <c r="B26" s="32" t="s">
        <v>233</v>
      </c>
      <c r="C26" s="32"/>
      <c r="D26" s="32"/>
    </row>
    <row r="27" spans="1:6">
      <c r="A27" s="30" t="s">
        <v>87</v>
      </c>
      <c r="B27" s="32" t="s">
        <v>233</v>
      </c>
      <c r="C27" s="32"/>
      <c r="D27" s="32"/>
    </row>
    <row r="28" spans="1:6">
      <c r="A28" s="30" t="s">
        <v>90</v>
      </c>
      <c r="B28" s="32" t="s">
        <v>233</v>
      </c>
      <c r="C28" s="32"/>
      <c r="D28" s="32"/>
    </row>
    <row r="29" spans="1:6">
      <c r="A29" s="30" t="s">
        <v>84</v>
      </c>
      <c r="B29" s="32" t="s">
        <v>233</v>
      </c>
      <c r="C29" s="32" t="s">
        <v>230</v>
      </c>
      <c r="D29" s="32" t="s">
        <v>230</v>
      </c>
    </row>
    <row r="30" spans="1:6">
      <c r="A30" s="30" t="s">
        <v>65</v>
      </c>
      <c r="B30" s="32" t="s">
        <v>233</v>
      </c>
      <c r="C30" s="32"/>
      <c r="D30" s="32"/>
    </row>
    <row r="31" spans="1:6" ht="16.5" customHeight="1">
      <c r="A31" s="30" t="s">
        <v>74</v>
      </c>
      <c r="B31" s="32" t="s">
        <v>233</v>
      </c>
      <c r="C31" s="32"/>
      <c r="D31" s="32"/>
    </row>
    <row r="32" spans="1:6">
      <c r="A32" s="30" t="s">
        <v>133</v>
      </c>
      <c r="B32" s="32"/>
      <c r="C32" s="32" t="s">
        <v>230</v>
      </c>
      <c r="D32" s="32" t="s">
        <v>230</v>
      </c>
    </row>
    <row r="33" spans="1:4">
      <c r="A33" s="30" t="s">
        <v>120</v>
      </c>
      <c r="B33" s="32" t="s">
        <v>233</v>
      </c>
      <c r="C33" s="32"/>
      <c r="D33" s="32"/>
    </row>
    <row r="34" spans="1:4">
      <c r="A34" s="78" t="s">
        <v>231</v>
      </c>
      <c r="B34">
        <f>31-COUNTIF(B3:B33,"xx")</f>
        <v>1</v>
      </c>
    </row>
    <row r="35" spans="1:4">
      <c r="A35" s="111" t="s">
        <v>232</v>
      </c>
      <c r="B35">
        <f>31-COUNTIF(B3:B33,"x")</f>
        <v>31</v>
      </c>
    </row>
    <row r="36" spans="1:4">
      <c r="A36" s="111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CEE7E-66C4-4644-8199-5E63EA6521ED}">
  <sheetPr>
    <pageSetUpPr fitToPage="1"/>
  </sheetPr>
  <dimension ref="A1:AF30"/>
  <sheetViews>
    <sheetView topLeftCell="D1" zoomScale="90" zoomScaleNormal="90" workbookViewId="0">
      <pane ySplit="1" topLeftCell="A2" activePane="bottomLeft" state="frozen"/>
      <selection pane="bottomLeft" activeCell="U1" sqref="U1:U1048576"/>
    </sheetView>
  </sheetViews>
  <sheetFormatPr baseColWidth="10" defaultColWidth="9.28515625" defaultRowHeight="15"/>
  <cols>
    <col min="1" max="2" width="9.28515625" style="95"/>
    <col min="3" max="3" width="36.7109375" style="95" customWidth="1"/>
    <col min="4" max="16384" width="9.28515625" style="95"/>
  </cols>
  <sheetData>
    <row r="1" spans="1:32">
      <c r="A1" s="95" t="s">
        <v>186</v>
      </c>
      <c r="B1" s="95" t="s">
        <v>187</v>
      </c>
      <c r="C1" s="95" t="s">
        <v>188</v>
      </c>
      <c r="D1" s="95" t="s">
        <v>189</v>
      </c>
      <c r="E1" s="95" t="s">
        <v>190</v>
      </c>
      <c r="F1" s="95" t="s">
        <v>191</v>
      </c>
      <c r="G1" s="95" t="s">
        <v>192</v>
      </c>
      <c r="H1" s="95" t="s">
        <v>193</v>
      </c>
      <c r="I1" s="95" t="s">
        <v>194</v>
      </c>
      <c r="J1" s="95" t="s">
        <v>195</v>
      </c>
      <c r="K1" s="95" t="s">
        <v>196</v>
      </c>
      <c r="L1" s="95" t="s">
        <v>197</v>
      </c>
      <c r="M1" s="95" t="s">
        <v>198</v>
      </c>
      <c r="N1" s="95" t="s">
        <v>199</v>
      </c>
      <c r="O1" s="95" t="s">
        <v>200</v>
      </c>
      <c r="P1" s="95" t="s">
        <v>201</v>
      </c>
      <c r="Q1" s="95" t="s">
        <v>202</v>
      </c>
      <c r="R1" s="95" t="s">
        <v>203</v>
      </c>
      <c r="S1" s="95" t="s">
        <v>204</v>
      </c>
      <c r="T1" s="95" t="s">
        <v>205</v>
      </c>
      <c r="U1" s="95" t="s">
        <v>206</v>
      </c>
      <c r="V1" s="95" t="s">
        <v>207</v>
      </c>
      <c r="W1" s="95" t="s">
        <v>208</v>
      </c>
      <c r="X1" s="95" t="s">
        <v>209</v>
      </c>
      <c r="Y1" s="95" t="s">
        <v>210</v>
      </c>
      <c r="Z1" s="95" t="s">
        <v>211</v>
      </c>
      <c r="AA1" s="95" t="s">
        <v>212</v>
      </c>
      <c r="AB1" s="95" t="s">
        <v>213</v>
      </c>
      <c r="AC1" s="95" t="s">
        <v>214</v>
      </c>
      <c r="AD1" s="95" t="s">
        <v>215</v>
      </c>
      <c r="AE1" s="95" t="s">
        <v>216</v>
      </c>
      <c r="AF1" s="95" t="s">
        <v>217</v>
      </c>
    </row>
    <row r="2" spans="1:32">
      <c r="C2" s="109" t="s">
        <v>234</v>
      </c>
      <c r="E2"/>
      <c r="F2"/>
      <c r="G2"/>
      <c r="H2"/>
      <c r="I2"/>
      <c r="J2"/>
      <c r="K2"/>
      <c r="L2"/>
      <c r="M2" s="95">
        <v>0</v>
      </c>
      <c r="N2"/>
      <c r="O2" s="95">
        <v>1</v>
      </c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</row>
    <row r="3" spans="1:32">
      <c r="A3" s="95" t="s">
        <v>218</v>
      </c>
      <c r="C3" s="109" t="s">
        <v>228</v>
      </c>
      <c r="D3" s="95" t="s">
        <v>104</v>
      </c>
      <c r="E3"/>
      <c r="F3"/>
      <c r="G3"/>
      <c r="H3"/>
      <c r="I3">
        <v>1</v>
      </c>
      <c r="J3">
        <v>6</v>
      </c>
      <c r="K3">
        <v>5</v>
      </c>
      <c r="L3"/>
      <c r="M3">
        <v>1</v>
      </c>
      <c r="N3">
        <v>1</v>
      </c>
      <c r="O3">
        <v>0</v>
      </c>
      <c r="P3"/>
      <c r="Q3"/>
      <c r="R3"/>
      <c r="S3"/>
      <c r="T3">
        <v>3</v>
      </c>
      <c r="U3"/>
      <c r="V3"/>
      <c r="W3"/>
      <c r="X3"/>
      <c r="Y3"/>
      <c r="Z3"/>
      <c r="AA3"/>
      <c r="AB3"/>
      <c r="AC3"/>
      <c r="AD3">
        <v>3</v>
      </c>
      <c r="AE3"/>
      <c r="AF3"/>
    </row>
    <row r="4" spans="1:32">
      <c r="A4" s="95" t="s">
        <v>218</v>
      </c>
      <c r="C4" s="2" t="s">
        <v>25</v>
      </c>
      <c r="D4" s="95" t="s">
        <v>115</v>
      </c>
      <c r="E4">
        <v>2</v>
      </c>
      <c r="F4"/>
      <c r="G4"/>
      <c r="H4"/>
      <c r="I4"/>
      <c r="J4"/>
      <c r="K4"/>
      <c r="L4"/>
      <c r="M4">
        <v>0</v>
      </c>
      <c r="N4"/>
      <c r="O4">
        <v>0</v>
      </c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>
      <c r="A5" s="95" t="s">
        <v>218</v>
      </c>
      <c r="C5" s="109" t="s">
        <v>222</v>
      </c>
      <c r="D5" s="95" t="s">
        <v>105</v>
      </c>
      <c r="E5">
        <v>7</v>
      </c>
      <c r="F5">
        <v>1</v>
      </c>
      <c r="G5">
        <v>1</v>
      </c>
      <c r="H5"/>
      <c r="I5"/>
      <c r="J5">
        <v>19</v>
      </c>
      <c r="K5">
        <v>1</v>
      </c>
      <c r="L5">
        <v>4</v>
      </c>
      <c r="M5">
        <v>6</v>
      </c>
      <c r="N5"/>
      <c r="O5">
        <v>7</v>
      </c>
      <c r="P5"/>
      <c r="Q5">
        <v>1</v>
      </c>
      <c r="R5"/>
      <c r="S5">
        <v>7</v>
      </c>
      <c r="T5">
        <v>12</v>
      </c>
      <c r="U5"/>
      <c r="V5"/>
      <c r="W5"/>
      <c r="X5"/>
      <c r="Y5">
        <v>5</v>
      </c>
      <c r="Z5"/>
      <c r="AA5">
        <v>2</v>
      </c>
      <c r="AB5">
        <v>1</v>
      </c>
      <c r="AC5">
        <v>5</v>
      </c>
      <c r="AD5">
        <v>3</v>
      </c>
      <c r="AE5">
        <v>1</v>
      </c>
      <c r="AF5"/>
    </row>
    <row r="6" spans="1:32">
      <c r="A6" s="95" t="s">
        <v>218</v>
      </c>
      <c r="C6" s="109" t="s">
        <v>219</v>
      </c>
      <c r="D6" s="95" t="s">
        <v>107</v>
      </c>
      <c r="E6">
        <v>5</v>
      </c>
      <c r="F6">
        <v>4</v>
      </c>
      <c r="G6"/>
      <c r="H6"/>
      <c r="I6">
        <v>2</v>
      </c>
      <c r="J6">
        <v>13</v>
      </c>
      <c r="K6">
        <v>8</v>
      </c>
      <c r="L6">
        <v>2</v>
      </c>
      <c r="M6">
        <v>10</v>
      </c>
      <c r="N6"/>
      <c r="O6">
        <v>5</v>
      </c>
      <c r="P6"/>
      <c r="Q6"/>
      <c r="R6"/>
      <c r="S6"/>
      <c r="T6">
        <v>8</v>
      </c>
      <c r="U6">
        <v>1</v>
      </c>
      <c r="V6"/>
      <c r="W6"/>
      <c r="X6"/>
      <c r="Y6">
        <v>4</v>
      </c>
      <c r="Z6"/>
      <c r="AA6">
        <v>5</v>
      </c>
      <c r="AB6"/>
      <c r="AC6"/>
      <c r="AD6">
        <v>1</v>
      </c>
      <c r="AE6">
        <v>2</v>
      </c>
      <c r="AF6"/>
    </row>
    <row r="7" spans="1:32">
      <c r="A7" s="95" t="s">
        <v>218</v>
      </c>
      <c r="C7" s="109" t="s">
        <v>177</v>
      </c>
      <c r="D7" s="95" t="s">
        <v>108</v>
      </c>
      <c r="E7"/>
      <c r="F7"/>
      <c r="G7"/>
      <c r="H7"/>
      <c r="I7"/>
      <c r="J7"/>
      <c r="K7"/>
      <c r="L7"/>
      <c r="M7">
        <v>1</v>
      </c>
      <c r="N7"/>
      <c r="O7">
        <v>0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>
      <c r="A8" s="95" t="s">
        <v>218</v>
      </c>
      <c r="C8" s="109" t="s">
        <v>11</v>
      </c>
      <c r="D8" s="95" t="s">
        <v>141</v>
      </c>
      <c r="E8"/>
      <c r="F8"/>
      <c r="G8"/>
      <c r="H8"/>
      <c r="I8"/>
      <c r="J8"/>
      <c r="K8"/>
      <c r="L8"/>
      <c r="M8">
        <v>0</v>
      </c>
      <c r="N8">
        <v>1</v>
      </c>
      <c r="O8">
        <v>0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>
        <v>1</v>
      </c>
      <c r="AE8"/>
      <c r="AF8"/>
    </row>
    <row r="9" spans="1:32">
      <c r="A9" s="95" t="s">
        <v>218</v>
      </c>
      <c r="C9" s="109" t="s">
        <v>26</v>
      </c>
      <c r="D9" s="95" t="s">
        <v>95</v>
      </c>
      <c r="E9">
        <v>1</v>
      </c>
      <c r="F9"/>
      <c r="G9"/>
      <c r="H9"/>
      <c r="I9">
        <v>6</v>
      </c>
      <c r="J9">
        <v>1</v>
      </c>
      <c r="K9">
        <v>55</v>
      </c>
      <c r="L9"/>
      <c r="M9">
        <v>1</v>
      </c>
      <c r="N9">
        <v>1</v>
      </c>
      <c r="O9">
        <v>0</v>
      </c>
      <c r="P9"/>
      <c r="Q9"/>
      <c r="R9"/>
      <c r="S9"/>
      <c r="T9">
        <v>4</v>
      </c>
      <c r="U9"/>
      <c r="V9"/>
      <c r="W9"/>
      <c r="X9"/>
      <c r="Y9">
        <v>1</v>
      </c>
      <c r="Z9">
        <v>1</v>
      </c>
      <c r="AA9">
        <v>1</v>
      </c>
      <c r="AB9"/>
      <c r="AC9">
        <v>10</v>
      </c>
      <c r="AD9">
        <v>2</v>
      </c>
      <c r="AE9"/>
      <c r="AF9"/>
    </row>
    <row r="10" spans="1:32">
      <c r="A10" s="95" t="s">
        <v>218</v>
      </c>
      <c r="C10" s="2" t="s">
        <v>128</v>
      </c>
      <c r="D10" s="95" t="s">
        <v>116</v>
      </c>
      <c r="E10">
        <v>8</v>
      </c>
      <c r="F10">
        <v>3</v>
      </c>
      <c r="G10"/>
      <c r="H10"/>
      <c r="I10">
        <v>2</v>
      </c>
      <c r="J10"/>
      <c r="K10"/>
      <c r="L10"/>
      <c r="M10">
        <v>3</v>
      </c>
      <c r="N10">
        <v>2</v>
      </c>
      <c r="O10">
        <v>7</v>
      </c>
      <c r="P10"/>
      <c r="Q10"/>
      <c r="R10"/>
      <c r="S10"/>
      <c r="T10">
        <v>4</v>
      </c>
      <c r="U10"/>
      <c r="V10"/>
      <c r="W10"/>
      <c r="X10"/>
      <c r="Y10">
        <v>3</v>
      </c>
      <c r="Z10">
        <v>2</v>
      </c>
      <c r="AA10">
        <v>1</v>
      </c>
      <c r="AB10">
        <v>2</v>
      </c>
      <c r="AC10"/>
      <c r="AD10">
        <v>7</v>
      </c>
      <c r="AE10"/>
      <c r="AF10"/>
    </row>
    <row r="11" spans="1:32">
      <c r="A11" s="95" t="s">
        <v>218</v>
      </c>
      <c r="C11" s="2" t="s">
        <v>181</v>
      </c>
      <c r="D11" s="95" t="s">
        <v>97</v>
      </c>
      <c r="E11"/>
      <c r="F11">
        <v>1</v>
      </c>
      <c r="G11"/>
      <c r="H11"/>
      <c r="I11"/>
      <c r="J11"/>
      <c r="K11">
        <v>1</v>
      </c>
      <c r="L11"/>
      <c r="M11">
        <v>0</v>
      </c>
      <c r="N11"/>
      <c r="O11">
        <v>5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>
      <c r="A12" s="95" t="s">
        <v>218</v>
      </c>
      <c r="C12" s="109" t="s">
        <v>6</v>
      </c>
      <c r="D12" s="95" t="s">
        <v>94</v>
      </c>
      <c r="E12">
        <v>11</v>
      </c>
      <c r="F12">
        <v>10</v>
      </c>
      <c r="G12">
        <v>1</v>
      </c>
      <c r="H12"/>
      <c r="I12">
        <v>5</v>
      </c>
      <c r="J12">
        <v>27</v>
      </c>
      <c r="K12">
        <v>4</v>
      </c>
      <c r="L12">
        <v>4</v>
      </c>
      <c r="M12">
        <v>39</v>
      </c>
      <c r="N12"/>
      <c r="O12">
        <v>17</v>
      </c>
      <c r="P12">
        <v>1</v>
      </c>
      <c r="Q12">
        <v>2</v>
      </c>
      <c r="R12">
        <v>1</v>
      </c>
      <c r="S12">
        <v>4</v>
      </c>
      <c r="T12">
        <v>28</v>
      </c>
      <c r="U12">
        <v>1</v>
      </c>
      <c r="V12"/>
      <c r="W12">
        <v>3</v>
      </c>
      <c r="X12"/>
      <c r="Y12">
        <v>8</v>
      </c>
      <c r="Z12"/>
      <c r="AA12">
        <v>8</v>
      </c>
      <c r="AB12">
        <v>3</v>
      </c>
      <c r="AC12">
        <v>3</v>
      </c>
      <c r="AD12"/>
      <c r="AE12">
        <v>1</v>
      </c>
      <c r="AF12">
        <v>1</v>
      </c>
    </row>
    <row r="13" spans="1:32">
      <c r="A13" s="95" t="s">
        <v>218</v>
      </c>
      <c r="C13" s="109" t="s">
        <v>173</v>
      </c>
      <c r="D13" s="95" t="s">
        <v>99</v>
      </c>
      <c r="E13"/>
      <c r="F13"/>
      <c r="G13"/>
      <c r="H13"/>
      <c r="I13">
        <v>1</v>
      </c>
      <c r="J13"/>
      <c r="K13"/>
      <c r="L13"/>
      <c r="M13">
        <v>5</v>
      </c>
      <c r="N13"/>
      <c r="O13">
        <v>0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>
      <c r="A14" s="95" t="s">
        <v>218</v>
      </c>
      <c r="C14" s="109" t="s">
        <v>220</v>
      </c>
      <c r="D14" s="95" t="s">
        <v>96</v>
      </c>
      <c r="E14">
        <v>19</v>
      </c>
      <c r="F14">
        <v>19</v>
      </c>
      <c r="G14">
        <v>2</v>
      </c>
      <c r="H14"/>
      <c r="I14">
        <v>7</v>
      </c>
      <c r="J14">
        <v>95</v>
      </c>
      <c r="K14">
        <v>10</v>
      </c>
      <c r="L14">
        <v>4</v>
      </c>
      <c r="M14">
        <v>63</v>
      </c>
      <c r="N14">
        <v>2</v>
      </c>
      <c r="O14">
        <v>15</v>
      </c>
      <c r="P14"/>
      <c r="Q14">
        <v>5</v>
      </c>
      <c r="R14">
        <v>8</v>
      </c>
      <c r="S14">
        <v>3</v>
      </c>
      <c r="T14">
        <v>46</v>
      </c>
      <c r="U14">
        <v>1</v>
      </c>
      <c r="V14">
        <v>6</v>
      </c>
      <c r="W14">
        <v>2</v>
      </c>
      <c r="X14">
        <v>1</v>
      </c>
      <c r="Y14">
        <v>28</v>
      </c>
      <c r="Z14"/>
      <c r="AA14">
        <v>13</v>
      </c>
      <c r="AB14">
        <v>7</v>
      </c>
      <c r="AC14">
        <v>17</v>
      </c>
      <c r="AD14">
        <v>3</v>
      </c>
      <c r="AE14">
        <v>4</v>
      </c>
      <c r="AF14">
        <v>1</v>
      </c>
    </row>
    <row r="15" spans="1:32">
      <c r="A15" s="95" t="s">
        <v>218</v>
      </c>
      <c r="C15" s="109" t="s">
        <v>142</v>
      </c>
      <c r="D15" s="95" t="s">
        <v>102</v>
      </c>
      <c r="E15"/>
      <c r="F15">
        <v>3</v>
      </c>
      <c r="G15"/>
      <c r="H15">
        <v>2</v>
      </c>
      <c r="I15"/>
      <c r="J15">
        <v>35</v>
      </c>
      <c r="K15">
        <v>5</v>
      </c>
      <c r="L15">
        <v>1</v>
      </c>
      <c r="M15">
        <v>30</v>
      </c>
      <c r="N15">
        <v>1</v>
      </c>
      <c r="O15">
        <v>39</v>
      </c>
      <c r="P15">
        <v>17</v>
      </c>
      <c r="Q15"/>
      <c r="R15"/>
      <c r="S15"/>
      <c r="T15">
        <v>8</v>
      </c>
      <c r="U15">
        <v>3</v>
      </c>
      <c r="V15">
        <v>2</v>
      </c>
      <c r="W15"/>
      <c r="X15"/>
      <c r="Y15">
        <v>7</v>
      </c>
      <c r="Z15"/>
      <c r="AA15">
        <v>4</v>
      </c>
      <c r="AB15">
        <v>5</v>
      </c>
      <c r="AC15">
        <v>16</v>
      </c>
      <c r="AD15">
        <v>7</v>
      </c>
      <c r="AE15"/>
      <c r="AF15"/>
    </row>
    <row r="16" spans="1:32">
      <c r="A16" s="95" t="s">
        <v>218</v>
      </c>
      <c r="C16" s="109" t="s">
        <v>176</v>
      </c>
      <c r="D16" s="95" t="s">
        <v>111</v>
      </c>
      <c r="E16">
        <v>2</v>
      </c>
      <c r="F16"/>
      <c r="G16"/>
      <c r="H16"/>
      <c r="I16"/>
      <c r="J16"/>
      <c r="K16"/>
      <c r="L16"/>
      <c r="M16">
        <v>8</v>
      </c>
      <c r="N16"/>
      <c r="O16">
        <v>9</v>
      </c>
      <c r="P16"/>
      <c r="Q16">
        <v>1</v>
      </c>
      <c r="R16"/>
      <c r="S16">
        <v>1</v>
      </c>
      <c r="T16">
        <v>178</v>
      </c>
      <c r="U16"/>
      <c r="V16"/>
      <c r="W16"/>
      <c r="X16"/>
      <c r="Y16"/>
      <c r="Z16"/>
      <c r="AA16">
        <v>4</v>
      </c>
      <c r="AB16"/>
      <c r="AC16">
        <v>3</v>
      </c>
      <c r="AD16"/>
      <c r="AE16"/>
      <c r="AF16"/>
    </row>
    <row r="17" spans="1:32">
      <c r="A17" s="95" t="s">
        <v>218</v>
      </c>
      <c r="C17" s="109" t="s">
        <v>221</v>
      </c>
      <c r="D17" s="95" t="s">
        <v>112</v>
      </c>
      <c r="E17">
        <v>5</v>
      </c>
      <c r="F17">
        <v>5</v>
      </c>
      <c r="G17"/>
      <c r="H17"/>
      <c r="I17"/>
      <c r="J17">
        <v>44</v>
      </c>
      <c r="K17"/>
      <c r="L17">
        <v>1</v>
      </c>
      <c r="M17">
        <v>16</v>
      </c>
      <c r="N17"/>
      <c r="O17">
        <v>7</v>
      </c>
      <c r="P17"/>
      <c r="Q17">
        <v>1</v>
      </c>
      <c r="R17"/>
      <c r="S17"/>
      <c r="T17">
        <v>26</v>
      </c>
      <c r="U17"/>
      <c r="V17"/>
      <c r="W17"/>
      <c r="X17"/>
      <c r="Y17">
        <v>4</v>
      </c>
      <c r="Z17"/>
      <c r="AA17">
        <v>2</v>
      </c>
      <c r="AB17"/>
      <c r="AC17"/>
      <c r="AD17">
        <v>1</v>
      </c>
      <c r="AE17">
        <v>1</v>
      </c>
      <c r="AF17"/>
    </row>
    <row r="18" spans="1:32">
      <c r="A18" s="95" t="s">
        <v>218</v>
      </c>
      <c r="C18" s="109" t="s">
        <v>140</v>
      </c>
      <c r="D18" s="95" t="s">
        <v>132</v>
      </c>
      <c r="E18">
        <v>2</v>
      </c>
      <c r="F18">
        <v>2</v>
      </c>
      <c r="G18"/>
      <c r="H18"/>
      <c r="I18"/>
      <c r="J18">
        <v>16</v>
      </c>
      <c r="K18"/>
      <c r="L18"/>
      <c r="M18">
        <v>7</v>
      </c>
      <c r="N18"/>
      <c r="O18">
        <v>2</v>
      </c>
      <c r="P18"/>
      <c r="Q18"/>
      <c r="R18"/>
      <c r="S18"/>
      <c r="T18">
        <v>14</v>
      </c>
      <c r="U18"/>
      <c r="V18"/>
      <c r="W18"/>
      <c r="X18"/>
      <c r="Y18">
        <v>2</v>
      </c>
      <c r="Z18"/>
      <c r="AA18"/>
      <c r="AB18"/>
      <c r="AC18"/>
      <c r="AD18"/>
      <c r="AE18">
        <v>1</v>
      </c>
      <c r="AF18"/>
    </row>
    <row r="19" spans="1:32">
      <c r="A19" s="95" t="s">
        <v>218</v>
      </c>
      <c r="C19" s="109" t="s">
        <v>7</v>
      </c>
      <c r="D19" s="95" t="s">
        <v>103</v>
      </c>
      <c r="E19">
        <v>3</v>
      </c>
      <c r="F19">
        <v>7</v>
      </c>
      <c r="G19">
        <v>1</v>
      </c>
      <c r="H19"/>
      <c r="I19">
        <v>2</v>
      </c>
      <c r="J19">
        <v>29</v>
      </c>
      <c r="K19">
        <v>7</v>
      </c>
      <c r="L19">
        <v>3</v>
      </c>
      <c r="M19">
        <v>18</v>
      </c>
      <c r="N19"/>
      <c r="O19">
        <v>5</v>
      </c>
      <c r="P19"/>
      <c r="Q19">
        <v>1</v>
      </c>
      <c r="R19"/>
      <c r="S19">
        <v>1</v>
      </c>
      <c r="T19">
        <v>13</v>
      </c>
      <c r="U19">
        <v>1</v>
      </c>
      <c r="V19"/>
      <c r="W19">
        <v>1</v>
      </c>
      <c r="X19"/>
      <c r="Y19">
        <v>7</v>
      </c>
      <c r="Z19"/>
      <c r="AA19">
        <v>7</v>
      </c>
      <c r="AB19">
        <v>1</v>
      </c>
      <c r="AC19">
        <v>1</v>
      </c>
      <c r="AD19"/>
      <c r="AE19">
        <v>1</v>
      </c>
      <c r="AF19"/>
    </row>
    <row r="20" spans="1:32">
      <c r="A20" s="95" t="s">
        <v>218</v>
      </c>
      <c r="C20" s="109" t="s">
        <v>20</v>
      </c>
      <c r="D20" s="95" t="s">
        <v>101</v>
      </c>
      <c r="E20">
        <v>2</v>
      </c>
      <c r="F20">
        <v>4</v>
      </c>
      <c r="G20"/>
      <c r="H20"/>
      <c r="I20">
        <v>4</v>
      </c>
      <c r="J20">
        <v>54</v>
      </c>
      <c r="K20"/>
      <c r="L20"/>
      <c r="M20">
        <v>8</v>
      </c>
      <c r="N20">
        <v>1</v>
      </c>
      <c r="O20">
        <v>9</v>
      </c>
      <c r="P20"/>
      <c r="Q20"/>
      <c r="R20"/>
      <c r="S20">
        <v>1</v>
      </c>
      <c r="T20">
        <v>4</v>
      </c>
      <c r="U20"/>
      <c r="V20"/>
      <c r="W20"/>
      <c r="X20"/>
      <c r="Y20">
        <v>21</v>
      </c>
      <c r="Z20"/>
      <c r="AA20">
        <v>1</v>
      </c>
      <c r="AB20"/>
      <c r="AC20"/>
      <c r="AD20">
        <v>13</v>
      </c>
      <c r="AE20"/>
      <c r="AF20"/>
    </row>
    <row r="21" spans="1:32">
      <c r="A21" s="95" t="s">
        <v>218</v>
      </c>
      <c r="C21" s="109" t="s">
        <v>131</v>
      </c>
      <c r="D21" s="95" t="s">
        <v>100</v>
      </c>
      <c r="E21">
        <v>42</v>
      </c>
      <c r="F21">
        <v>1</v>
      </c>
      <c r="G21"/>
      <c r="H21"/>
      <c r="I21">
        <v>5</v>
      </c>
      <c r="J21">
        <v>5</v>
      </c>
      <c r="K21">
        <v>1</v>
      </c>
      <c r="L21"/>
      <c r="M21">
        <v>0</v>
      </c>
      <c r="N21"/>
      <c r="O21">
        <v>2</v>
      </c>
      <c r="P21"/>
      <c r="Q21"/>
      <c r="R21"/>
      <c r="S21"/>
      <c r="T21">
        <v>3</v>
      </c>
      <c r="U21">
        <v>1</v>
      </c>
      <c r="V21"/>
      <c r="W21"/>
      <c r="X21"/>
      <c r="Y21"/>
      <c r="Z21"/>
      <c r="AA21">
        <v>6</v>
      </c>
      <c r="AB21">
        <v>1</v>
      </c>
      <c r="AC21">
        <v>1</v>
      </c>
      <c r="AD21">
        <v>1</v>
      </c>
      <c r="AE21"/>
      <c r="AF21">
        <v>1</v>
      </c>
    </row>
    <row r="22" spans="1:32">
      <c r="A22" s="95" t="s">
        <v>218</v>
      </c>
      <c r="C22" s="2" t="s">
        <v>10</v>
      </c>
      <c r="D22" s="95" t="s">
        <v>106</v>
      </c>
      <c r="E22">
        <v>7</v>
      </c>
      <c r="F22">
        <v>1</v>
      </c>
      <c r="G22">
        <v>2</v>
      </c>
      <c r="H22"/>
      <c r="I22">
        <v>3</v>
      </c>
      <c r="J22">
        <v>8</v>
      </c>
      <c r="K22">
        <v>30</v>
      </c>
      <c r="L22"/>
      <c r="M22">
        <v>2</v>
      </c>
      <c r="N22"/>
      <c r="O22">
        <v>0</v>
      </c>
      <c r="P22">
        <v>2</v>
      </c>
      <c r="Q22"/>
      <c r="R22"/>
      <c r="S22"/>
      <c r="T22">
        <v>17</v>
      </c>
      <c r="U22"/>
      <c r="V22"/>
      <c r="W22"/>
      <c r="X22"/>
      <c r="Y22">
        <v>5</v>
      </c>
      <c r="Z22">
        <v>10</v>
      </c>
      <c r="AA22">
        <v>2</v>
      </c>
      <c r="AB22">
        <v>1</v>
      </c>
      <c r="AC22">
        <v>1</v>
      </c>
      <c r="AD22">
        <v>5</v>
      </c>
      <c r="AE22"/>
      <c r="AF22"/>
    </row>
    <row r="23" spans="1:32">
      <c r="A23" s="95" t="s">
        <v>218</v>
      </c>
      <c r="C23" s="2" t="s">
        <v>129</v>
      </c>
      <c r="D23" s="95" t="s">
        <v>92</v>
      </c>
      <c r="E23">
        <v>1</v>
      </c>
      <c r="F23">
        <v>4</v>
      </c>
      <c r="G23">
        <v>1</v>
      </c>
      <c r="H23"/>
      <c r="I23">
        <v>2</v>
      </c>
      <c r="J23">
        <v>66</v>
      </c>
      <c r="K23">
        <v>1</v>
      </c>
      <c r="L23"/>
      <c r="M23">
        <v>22</v>
      </c>
      <c r="N23"/>
      <c r="O23">
        <v>15</v>
      </c>
      <c r="P23"/>
      <c r="Q23">
        <v>5</v>
      </c>
      <c r="R23">
        <v>2</v>
      </c>
      <c r="S23">
        <v>1</v>
      </c>
      <c r="T23">
        <v>41</v>
      </c>
      <c r="U23">
        <v>1</v>
      </c>
      <c r="V23"/>
      <c r="W23"/>
      <c r="X23"/>
      <c r="Y23">
        <v>3</v>
      </c>
      <c r="Z23"/>
      <c r="AA23">
        <v>12</v>
      </c>
      <c r="AB23">
        <v>7</v>
      </c>
      <c r="AC23">
        <v>6</v>
      </c>
      <c r="AD23">
        <v>7</v>
      </c>
      <c r="AE23"/>
      <c r="AF23"/>
    </row>
    <row r="24" spans="1:32" ht="24.75">
      <c r="C24" s="2" t="s">
        <v>24</v>
      </c>
      <c r="E24">
        <v>1</v>
      </c>
      <c r="F24"/>
      <c r="G24"/>
      <c r="H24"/>
      <c r="I24"/>
      <c r="J24">
        <v>2</v>
      </c>
      <c r="K24"/>
      <c r="L24"/>
      <c r="M24">
        <v>1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>
        <v>1</v>
      </c>
      <c r="AE24"/>
      <c r="AF24"/>
    </row>
    <row r="25" spans="1:32">
      <c r="A25" s="95" t="s">
        <v>223</v>
      </c>
      <c r="C25" s="95" t="s">
        <v>165</v>
      </c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</row>
    <row r="26" spans="1:32">
      <c r="A26" s="95" t="s">
        <v>223</v>
      </c>
      <c r="C26" s="95" t="s">
        <v>178</v>
      </c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</row>
    <row r="27" spans="1:32">
      <c r="C27" s="2" t="s">
        <v>28</v>
      </c>
      <c r="D27" s="95" t="s">
        <v>113</v>
      </c>
      <c r="E27" s="95">
        <v>158</v>
      </c>
      <c r="F27" s="95">
        <v>2</v>
      </c>
      <c r="G27" s="95">
        <f>G26+G25</f>
        <v>0</v>
      </c>
      <c r="H27" s="95">
        <f>H26+H25</f>
        <v>0</v>
      </c>
      <c r="I27" s="95">
        <v>3</v>
      </c>
      <c r="J27" s="95">
        <v>22</v>
      </c>
      <c r="K27" s="95">
        <v>1</v>
      </c>
      <c r="L27" s="95">
        <f>L26+L25</f>
        <v>0</v>
      </c>
      <c r="M27" s="95">
        <v>58</v>
      </c>
      <c r="N27" s="95">
        <v>1</v>
      </c>
      <c r="O27" s="95">
        <v>194</v>
      </c>
      <c r="P27" s="95">
        <f>P26+P25</f>
        <v>0</v>
      </c>
      <c r="Q27" s="95">
        <v>10</v>
      </c>
      <c r="R27" s="95">
        <f>R26+R25</f>
        <v>0</v>
      </c>
      <c r="S27" s="95">
        <f>S26+S25</f>
        <v>0</v>
      </c>
      <c r="T27" s="95">
        <v>70</v>
      </c>
      <c r="U27" s="95">
        <f>U26+U25</f>
        <v>0</v>
      </c>
      <c r="V27" s="95">
        <v>1</v>
      </c>
      <c r="W27" s="95">
        <f>W26+W25</f>
        <v>0</v>
      </c>
      <c r="X27" s="95">
        <v>5</v>
      </c>
      <c r="Y27" s="95">
        <v>3</v>
      </c>
      <c r="Z27" s="95">
        <f>Z26+Z25</f>
        <v>0</v>
      </c>
      <c r="AA27" s="95">
        <f>AA26+AA25</f>
        <v>0</v>
      </c>
      <c r="AB27" s="95">
        <v>6</v>
      </c>
      <c r="AC27" s="95">
        <v>2</v>
      </c>
      <c r="AD27" s="95">
        <f>AD26+AD25</f>
        <v>0</v>
      </c>
      <c r="AE27" s="95">
        <v>49</v>
      </c>
      <c r="AF27" s="95">
        <f>AF26+AF25</f>
        <v>0</v>
      </c>
    </row>
    <row r="28" spans="1:32">
      <c r="D28" s="97" t="s">
        <v>224</v>
      </c>
      <c r="E28" s="97">
        <f>SUM(E3:E27)</f>
        <v>276</v>
      </c>
      <c r="F28" s="97">
        <f t="shared" ref="F28:AF28" si="0">SUM(F3:F27)</f>
        <v>67</v>
      </c>
      <c r="G28" s="97">
        <f t="shared" si="0"/>
        <v>8</v>
      </c>
      <c r="H28" s="97">
        <f t="shared" si="0"/>
        <v>2</v>
      </c>
      <c r="I28" s="97">
        <f t="shared" si="0"/>
        <v>43</v>
      </c>
      <c r="J28" s="97">
        <f t="shared" si="0"/>
        <v>442</v>
      </c>
      <c r="K28" s="97">
        <f t="shared" si="0"/>
        <v>129</v>
      </c>
      <c r="L28" s="97">
        <f t="shared" si="0"/>
        <v>19</v>
      </c>
      <c r="M28" s="97">
        <f t="shared" si="0"/>
        <v>299</v>
      </c>
      <c r="N28" s="97">
        <f t="shared" si="0"/>
        <v>10</v>
      </c>
      <c r="O28" s="97">
        <f t="shared" si="0"/>
        <v>338</v>
      </c>
      <c r="P28" s="97">
        <f t="shared" si="0"/>
        <v>20</v>
      </c>
      <c r="Q28" s="97">
        <f t="shared" si="0"/>
        <v>26</v>
      </c>
      <c r="R28" s="97">
        <f t="shared" si="0"/>
        <v>11</v>
      </c>
      <c r="S28" s="97">
        <f t="shared" si="0"/>
        <v>18</v>
      </c>
      <c r="T28" s="97">
        <f t="shared" si="0"/>
        <v>479</v>
      </c>
      <c r="U28" s="97">
        <f t="shared" si="0"/>
        <v>9</v>
      </c>
      <c r="V28" s="97">
        <f t="shared" si="0"/>
        <v>9</v>
      </c>
      <c r="W28" s="97">
        <f t="shared" si="0"/>
        <v>6</v>
      </c>
      <c r="X28" s="97">
        <f t="shared" si="0"/>
        <v>6</v>
      </c>
      <c r="Y28" s="97">
        <f t="shared" si="0"/>
        <v>101</v>
      </c>
      <c r="Z28" s="97">
        <f t="shared" si="0"/>
        <v>13</v>
      </c>
      <c r="AA28" s="97">
        <f t="shared" si="0"/>
        <v>68</v>
      </c>
      <c r="AB28" s="97">
        <f t="shared" si="0"/>
        <v>34</v>
      </c>
      <c r="AC28" s="97">
        <f t="shared" si="0"/>
        <v>65</v>
      </c>
      <c r="AD28" s="97">
        <f t="shared" si="0"/>
        <v>55</v>
      </c>
      <c r="AE28" s="97">
        <f t="shared" si="0"/>
        <v>60</v>
      </c>
      <c r="AF28" s="97">
        <f t="shared" si="0"/>
        <v>3</v>
      </c>
    </row>
    <row r="30" spans="1:32">
      <c r="C30" s="95">
        <v>1</v>
      </c>
      <c r="D30" s="95">
        <v>2</v>
      </c>
      <c r="E30" s="95">
        <v>3</v>
      </c>
      <c r="F30" s="95">
        <v>4</v>
      </c>
      <c r="G30" s="95">
        <v>5</v>
      </c>
      <c r="H30" s="95">
        <v>6</v>
      </c>
      <c r="I30" s="95">
        <v>7</v>
      </c>
      <c r="J30" s="95">
        <v>8</v>
      </c>
      <c r="K30" s="95">
        <v>9</v>
      </c>
      <c r="L30" s="95">
        <v>10</v>
      </c>
      <c r="M30" s="95">
        <v>11</v>
      </c>
      <c r="N30" s="95">
        <v>12</v>
      </c>
      <c r="O30" s="95">
        <v>13</v>
      </c>
      <c r="P30" s="95">
        <v>14</v>
      </c>
      <c r="Q30" s="95">
        <v>15</v>
      </c>
      <c r="R30" s="95">
        <v>16</v>
      </c>
      <c r="S30" s="95">
        <v>17</v>
      </c>
      <c r="T30" s="95">
        <v>18</v>
      </c>
      <c r="U30" s="95">
        <v>19</v>
      </c>
      <c r="V30" s="95">
        <v>20</v>
      </c>
      <c r="W30" s="95">
        <v>21</v>
      </c>
      <c r="X30" s="95">
        <v>22</v>
      </c>
      <c r="Y30" s="95">
        <v>23</v>
      </c>
      <c r="Z30" s="95">
        <v>24</v>
      </c>
      <c r="AA30" s="95">
        <v>25</v>
      </c>
      <c r="AB30" s="95">
        <v>26</v>
      </c>
      <c r="AC30" s="95">
        <v>27</v>
      </c>
      <c r="AD30" s="95">
        <v>28</v>
      </c>
      <c r="AE30" s="95">
        <v>29</v>
      </c>
      <c r="AF30" s="95">
        <v>30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AEEF-7207-48A8-AB0C-9BA21154CB04}">
  <sheetPr>
    <pageSetUpPr fitToPage="1"/>
  </sheetPr>
  <dimension ref="A1:AG29"/>
  <sheetViews>
    <sheetView topLeftCell="G1" workbookViewId="0">
      <pane ySplit="1" topLeftCell="A2" activePane="bottomLeft" state="frozen"/>
      <selection pane="bottomLeft" activeCell="Q2" sqref="Q2:AG24"/>
    </sheetView>
  </sheetViews>
  <sheetFormatPr baseColWidth="10" defaultColWidth="9.28515625" defaultRowHeight="15"/>
  <cols>
    <col min="1" max="2" width="9.28515625" style="95"/>
    <col min="3" max="3" width="24.7109375" style="95" customWidth="1"/>
    <col min="4" max="16384" width="9.28515625" style="95"/>
  </cols>
  <sheetData>
    <row r="1" spans="1:33">
      <c r="A1" s="95" t="s">
        <v>186</v>
      </c>
      <c r="B1" s="95" t="s">
        <v>187</v>
      </c>
      <c r="C1" s="95" t="s">
        <v>188</v>
      </c>
      <c r="D1" s="95" t="s">
        <v>189</v>
      </c>
      <c r="F1" s="95" t="s">
        <v>190</v>
      </c>
      <c r="G1" s="95" t="s">
        <v>191</v>
      </c>
      <c r="H1" s="95" t="s">
        <v>192</v>
      </c>
      <c r="I1" s="95" t="s">
        <v>193</v>
      </c>
      <c r="J1" s="95" t="s">
        <v>194</v>
      </c>
      <c r="K1" s="95" t="s">
        <v>195</v>
      </c>
      <c r="L1" s="95" t="s">
        <v>196</v>
      </c>
      <c r="M1" s="95" t="s">
        <v>197</v>
      </c>
      <c r="N1" s="95" t="s">
        <v>198</v>
      </c>
      <c r="O1" s="95" t="s">
        <v>199</v>
      </c>
      <c r="P1" s="95" t="s">
        <v>200</v>
      </c>
      <c r="Q1" s="95" t="s">
        <v>201</v>
      </c>
      <c r="R1" s="95" t="s">
        <v>202</v>
      </c>
      <c r="S1" s="95" t="s">
        <v>203</v>
      </c>
      <c r="T1" s="95" t="s">
        <v>204</v>
      </c>
      <c r="U1" s="95" t="s">
        <v>205</v>
      </c>
      <c r="V1" s="95" t="s">
        <v>206</v>
      </c>
      <c r="W1" s="95" t="s">
        <v>207</v>
      </c>
      <c r="X1" s="95" t="s">
        <v>208</v>
      </c>
      <c r="Y1" s="95" t="s">
        <v>209</v>
      </c>
      <c r="Z1" s="95" t="s">
        <v>210</v>
      </c>
      <c r="AA1" s="95" t="s">
        <v>211</v>
      </c>
      <c r="AB1" s="95" t="s">
        <v>212</v>
      </c>
      <c r="AC1" s="95" t="s">
        <v>213</v>
      </c>
      <c r="AD1" s="95" t="s">
        <v>214</v>
      </c>
      <c r="AE1" s="95" t="s">
        <v>215</v>
      </c>
      <c r="AF1" s="95" t="s">
        <v>216</v>
      </c>
      <c r="AG1" s="95" t="s">
        <v>217</v>
      </c>
    </row>
    <row r="2" spans="1:33">
      <c r="C2" s="109" t="s">
        <v>234</v>
      </c>
      <c r="F2"/>
      <c r="G2"/>
      <c r="H2"/>
      <c r="I2"/>
      <c r="J2"/>
      <c r="K2"/>
      <c r="L2"/>
      <c r="M2"/>
      <c r="N2" s="95">
        <v>0</v>
      </c>
      <c r="O2"/>
      <c r="P2" s="95">
        <v>36</v>
      </c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>
      <c r="A3" s="95" t="s">
        <v>218</v>
      </c>
      <c r="C3" s="109" t="s">
        <v>228</v>
      </c>
      <c r="F3"/>
      <c r="G3"/>
      <c r="H3"/>
      <c r="I3"/>
      <c r="J3">
        <v>197</v>
      </c>
      <c r="K3">
        <v>19</v>
      </c>
      <c r="L3">
        <v>147</v>
      </c>
      <c r="M3"/>
      <c r="N3">
        <v>34</v>
      </c>
      <c r="O3">
        <v>14</v>
      </c>
      <c r="P3">
        <v>0</v>
      </c>
      <c r="Q3"/>
      <c r="R3"/>
      <c r="S3"/>
      <c r="T3"/>
      <c r="U3">
        <v>48</v>
      </c>
      <c r="V3"/>
      <c r="W3"/>
      <c r="X3"/>
      <c r="Y3"/>
      <c r="Z3"/>
      <c r="AA3"/>
      <c r="AB3"/>
      <c r="AC3"/>
      <c r="AD3"/>
      <c r="AE3">
        <v>173</v>
      </c>
      <c r="AF3"/>
      <c r="AG3"/>
    </row>
    <row r="4" spans="1:33">
      <c r="A4" s="95" t="s">
        <v>218</v>
      </c>
      <c r="C4" s="2" t="s">
        <v>25</v>
      </c>
      <c r="F4">
        <v>6</v>
      </c>
      <c r="G4"/>
      <c r="H4"/>
      <c r="I4"/>
      <c r="J4"/>
      <c r="K4"/>
      <c r="L4"/>
      <c r="M4"/>
      <c r="N4">
        <v>0</v>
      </c>
      <c r="O4"/>
      <c r="P4">
        <v>0</v>
      </c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>
      <c r="A5" s="95" t="s">
        <v>218</v>
      </c>
      <c r="C5" s="109" t="s">
        <v>222</v>
      </c>
      <c r="F5">
        <v>41</v>
      </c>
      <c r="G5">
        <v>19</v>
      </c>
      <c r="H5">
        <v>1</v>
      </c>
      <c r="I5"/>
      <c r="J5"/>
      <c r="K5">
        <v>88</v>
      </c>
      <c r="L5">
        <v>41</v>
      </c>
      <c r="M5">
        <v>151</v>
      </c>
      <c r="N5">
        <v>48</v>
      </c>
      <c r="O5"/>
      <c r="P5">
        <v>60</v>
      </c>
      <c r="Q5"/>
      <c r="R5">
        <v>2</v>
      </c>
      <c r="S5"/>
      <c r="T5">
        <v>34</v>
      </c>
      <c r="U5">
        <v>257</v>
      </c>
      <c r="V5"/>
      <c r="W5"/>
      <c r="X5"/>
      <c r="Y5"/>
      <c r="Z5">
        <v>81</v>
      </c>
      <c r="AA5"/>
      <c r="AB5">
        <v>11</v>
      </c>
      <c r="AC5">
        <v>80</v>
      </c>
      <c r="AD5">
        <v>5</v>
      </c>
      <c r="AE5">
        <v>67</v>
      </c>
      <c r="AF5">
        <v>2</v>
      </c>
      <c r="AG5"/>
    </row>
    <row r="6" spans="1:33">
      <c r="A6" s="95" t="s">
        <v>218</v>
      </c>
      <c r="C6" s="109" t="s">
        <v>219</v>
      </c>
      <c r="F6">
        <v>16</v>
      </c>
      <c r="G6">
        <v>28</v>
      </c>
      <c r="H6"/>
      <c r="I6"/>
      <c r="J6">
        <v>2</v>
      </c>
      <c r="K6">
        <v>24</v>
      </c>
      <c r="L6">
        <v>111</v>
      </c>
      <c r="M6">
        <v>28</v>
      </c>
      <c r="N6">
        <v>28</v>
      </c>
      <c r="O6"/>
      <c r="P6">
        <v>48</v>
      </c>
      <c r="Q6"/>
      <c r="R6"/>
      <c r="S6"/>
      <c r="T6"/>
      <c r="U6">
        <v>49</v>
      </c>
      <c r="V6">
        <v>2</v>
      </c>
      <c r="W6"/>
      <c r="X6"/>
      <c r="Y6"/>
      <c r="Z6">
        <v>114</v>
      </c>
      <c r="AA6"/>
      <c r="AB6">
        <v>11</v>
      </c>
      <c r="AC6"/>
      <c r="AD6"/>
      <c r="AE6">
        <v>3</v>
      </c>
      <c r="AF6">
        <v>4</v>
      </c>
      <c r="AG6"/>
    </row>
    <row r="7" spans="1:33">
      <c r="A7" s="95" t="s">
        <v>218</v>
      </c>
      <c r="C7" s="109" t="s">
        <v>177</v>
      </c>
      <c r="F7"/>
      <c r="G7"/>
      <c r="H7"/>
      <c r="I7"/>
      <c r="J7"/>
      <c r="K7"/>
      <c r="L7"/>
      <c r="M7"/>
      <c r="N7">
        <v>3</v>
      </c>
      <c r="O7"/>
      <c r="P7">
        <v>0</v>
      </c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>
      <c r="A8" s="95" t="s">
        <v>218</v>
      </c>
      <c r="C8" s="109" t="s">
        <v>11</v>
      </c>
      <c r="F8"/>
      <c r="G8"/>
      <c r="H8"/>
      <c r="I8"/>
      <c r="J8"/>
      <c r="K8"/>
      <c r="L8"/>
      <c r="M8"/>
      <c r="N8">
        <v>0</v>
      </c>
      <c r="O8">
        <v>3</v>
      </c>
      <c r="P8">
        <v>0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>
        <v>49</v>
      </c>
      <c r="AF8"/>
      <c r="AG8"/>
    </row>
    <row r="9" spans="1:33">
      <c r="A9" s="95" t="s">
        <v>218</v>
      </c>
      <c r="C9" s="109" t="s">
        <v>26</v>
      </c>
      <c r="F9">
        <v>2</v>
      </c>
      <c r="G9"/>
      <c r="H9"/>
      <c r="I9"/>
      <c r="J9">
        <v>8</v>
      </c>
      <c r="K9">
        <v>2</v>
      </c>
      <c r="L9">
        <v>2204</v>
      </c>
      <c r="M9"/>
      <c r="N9">
        <v>103</v>
      </c>
      <c r="O9">
        <v>1</v>
      </c>
      <c r="P9">
        <v>0</v>
      </c>
      <c r="Q9"/>
      <c r="R9"/>
      <c r="S9"/>
      <c r="T9"/>
      <c r="U9">
        <v>57</v>
      </c>
      <c r="V9"/>
      <c r="W9"/>
      <c r="X9"/>
      <c r="Y9"/>
      <c r="Z9">
        <v>40</v>
      </c>
      <c r="AA9">
        <v>26</v>
      </c>
      <c r="AB9">
        <v>480</v>
      </c>
      <c r="AC9"/>
      <c r="AD9">
        <v>11</v>
      </c>
      <c r="AE9">
        <v>4</v>
      </c>
      <c r="AF9"/>
      <c r="AG9"/>
    </row>
    <row r="10" spans="1:33">
      <c r="A10" s="95" t="s">
        <v>218</v>
      </c>
      <c r="C10" s="2" t="s">
        <v>128</v>
      </c>
      <c r="F10">
        <v>129</v>
      </c>
      <c r="G10">
        <v>598</v>
      </c>
      <c r="H10"/>
      <c r="I10"/>
      <c r="J10">
        <v>79</v>
      </c>
      <c r="K10"/>
      <c r="L10"/>
      <c r="M10"/>
      <c r="N10">
        <v>34</v>
      </c>
      <c r="O10">
        <v>258</v>
      </c>
      <c r="P10">
        <v>228</v>
      </c>
      <c r="Q10"/>
      <c r="R10"/>
      <c r="S10"/>
      <c r="T10"/>
      <c r="U10">
        <v>875</v>
      </c>
      <c r="V10"/>
      <c r="W10"/>
      <c r="X10"/>
      <c r="Y10"/>
      <c r="Z10">
        <v>206</v>
      </c>
      <c r="AA10">
        <v>9</v>
      </c>
      <c r="AB10">
        <v>107</v>
      </c>
      <c r="AC10">
        <v>1103</v>
      </c>
      <c r="AD10"/>
      <c r="AE10">
        <v>165</v>
      </c>
      <c r="AF10"/>
      <c r="AG10"/>
    </row>
    <row r="11" spans="1:33" ht="24.75">
      <c r="A11" s="95" t="s">
        <v>218</v>
      </c>
      <c r="C11" s="2" t="s">
        <v>181</v>
      </c>
      <c r="F11"/>
      <c r="G11">
        <v>3</v>
      </c>
      <c r="H11"/>
      <c r="I11"/>
      <c r="J11"/>
      <c r="K11"/>
      <c r="L11">
        <v>3</v>
      </c>
      <c r="M11"/>
      <c r="N11">
        <v>2</v>
      </c>
      <c r="O11"/>
      <c r="P11">
        <v>75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>
      <c r="A12" s="95" t="s">
        <v>218</v>
      </c>
      <c r="C12" s="109" t="s">
        <v>6</v>
      </c>
      <c r="F12">
        <v>29</v>
      </c>
      <c r="G12">
        <v>170</v>
      </c>
      <c r="H12">
        <v>3</v>
      </c>
      <c r="I12"/>
      <c r="J12">
        <v>10</v>
      </c>
      <c r="K12">
        <v>133</v>
      </c>
      <c r="L12">
        <v>42</v>
      </c>
      <c r="M12">
        <v>65</v>
      </c>
      <c r="N12">
        <v>91</v>
      </c>
      <c r="O12"/>
      <c r="P12">
        <v>150</v>
      </c>
      <c r="Q12">
        <v>2</v>
      </c>
      <c r="R12">
        <v>3</v>
      </c>
      <c r="S12">
        <v>4</v>
      </c>
      <c r="T12">
        <v>14</v>
      </c>
      <c r="U12">
        <v>265</v>
      </c>
      <c r="V12">
        <v>5</v>
      </c>
      <c r="W12"/>
      <c r="X12">
        <v>28</v>
      </c>
      <c r="Y12"/>
      <c r="Z12">
        <v>44</v>
      </c>
      <c r="AA12"/>
      <c r="AB12">
        <v>58</v>
      </c>
      <c r="AC12">
        <v>5</v>
      </c>
      <c r="AD12">
        <v>3</v>
      </c>
      <c r="AE12"/>
      <c r="AF12">
        <v>1</v>
      </c>
      <c r="AG12">
        <v>2</v>
      </c>
    </row>
    <row r="13" spans="1:33">
      <c r="A13" s="95" t="s">
        <v>218</v>
      </c>
      <c r="C13" s="109" t="s">
        <v>173</v>
      </c>
      <c r="F13"/>
      <c r="G13"/>
      <c r="H13"/>
      <c r="I13"/>
      <c r="J13">
        <v>4981</v>
      </c>
      <c r="K13"/>
      <c r="L13"/>
      <c r="M13"/>
      <c r="N13">
        <v>16</v>
      </c>
      <c r="O13"/>
      <c r="P13">
        <v>0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>
      <c r="A14" s="95" t="s">
        <v>218</v>
      </c>
      <c r="C14" s="109" t="s">
        <v>220</v>
      </c>
      <c r="F14">
        <v>152</v>
      </c>
      <c r="G14">
        <v>849</v>
      </c>
      <c r="H14">
        <v>7</v>
      </c>
      <c r="I14"/>
      <c r="J14">
        <v>21</v>
      </c>
      <c r="K14">
        <v>215</v>
      </c>
      <c r="L14">
        <v>239</v>
      </c>
      <c r="M14">
        <v>177</v>
      </c>
      <c r="N14">
        <v>482</v>
      </c>
      <c r="O14">
        <v>56</v>
      </c>
      <c r="P14">
        <v>550</v>
      </c>
      <c r="Q14"/>
      <c r="R14">
        <v>15</v>
      </c>
      <c r="S14">
        <v>32</v>
      </c>
      <c r="T14">
        <v>35</v>
      </c>
      <c r="U14">
        <v>2014</v>
      </c>
      <c r="V14">
        <v>3</v>
      </c>
      <c r="W14">
        <v>10</v>
      </c>
      <c r="X14">
        <v>44</v>
      </c>
      <c r="Y14">
        <v>13</v>
      </c>
      <c r="Z14">
        <v>440</v>
      </c>
      <c r="AA14"/>
      <c r="AB14">
        <v>149</v>
      </c>
      <c r="AC14">
        <v>72</v>
      </c>
      <c r="AD14">
        <v>21</v>
      </c>
      <c r="AE14">
        <v>141</v>
      </c>
      <c r="AF14">
        <v>19</v>
      </c>
      <c r="AG14">
        <v>8</v>
      </c>
    </row>
    <row r="15" spans="1:33">
      <c r="A15" s="95" t="s">
        <v>218</v>
      </c>
      <c r="C15" s="109" t="s">
        <v>142</v>
      </c>
      <c r="F15"/>
      <c r="G15">
        <v>1323</v>
      </c>
      <c r="H15"/>
      <c r="I15">
        <v>33</v>
      </c>
      <c r="J15"/>
      <c r="K15">
        <v>137</v>
      </c>
      <c r="L15">
        <v>664</v>
      </c>
      <c r="M15">
        <v>60</v>
      </c>
      <c r="N15">
        <v>540</v>
      </c>
      <c r="O15">
        <v>7</v>
      </c>
      <c r="P15">
        <v>9444</v>
      </c>
      <c r="Q15">
        <v>339</v>
      </c>
      <c r="R15"/>
      <c r="S15"/>
      <c r="T15"/>
      <c r="U15">
        <v>1306</v>
      </c>
      <c r="V15">
        <v>42</v>
      </c>
      <c r="W15">
        <v>2</v>
      </c>
      <c r="X15"/>
      <c r="Y15"/>
      <c r="Z15">
        <v>152</v>
      </c>
      <c r="AA15"/>
      <c r="AB15">
        <v>528</v>
      </c>
      <c r="AC15">
        <v>60</v>
      </c>
      <c r="AD15">
        <v>20</v>
      </c>
      <c r="AE15">
        <v>1231</v>
      </c>
      <c r="AF15"/>
      <c r="AG15"/>
    </row>
    <row r="16" spans="1:33">
      <c r="A16" s="95" t="s">
        <v>218</v>
      </c>
      <c r="C16" s="109" t="s">
        <v>176</v>
      </c>
      <c r="F16">
        <v>2</v>
      </c>
      <c r="G16"/>
      <c r="H16"/>
      <c r="I16"/>
      <c r="J16"/>
      <c r="K16"/>
      <c r="L16"/>
      <c r="M16"/>
      <c r="N16">
        <v>16</v>
      </c>
      <c r="O16"/>
      <c r="P16">
        <v>9</v>
      </c>
      <c r="Q16"/>
      <c r="R16">
        <v>1</v>
      </c>
      <c r="S16"/>
      <c r="T16">
        <v>1</v>
      </c>
      <c r="U16">
        <v>179</v>
      </c>
      <c r="V16"/>
      <c r="W16"/>
      <c r="X16"/>
      <c r="Y16"/>
      <c r="Z16"/>
      <c r="AA16"/>
      <c r="AB16">
        <v>4</v>
      </c>
      <c r="AC16"/>
      <c r="AD16">
        <v>3</v>
      </c>
      <c r="AE16"/>
      <c r="AF16"/>
      <c r="AG16"/>
    </row>
    <row r="17" spans="1:33">
      <c r="A17" s="95" t="s">
        <v>218</v>
      </c>
      <c r="C17" s="109" t="s">
        <v>221</v>
      </c>
      <c r="F17">
        <v>29</v>
      </c>
      <c r="G17">
        <v>241</v>
      </c>
      <c r="H17"/>
      <c r="I17"/>
      <c r="J17"/>
      <c r="K17">
        <v>197</v>
      </c>
      <c r="L17"/>
      <c r="M17">
        <v>22</v>
      </c>
      <c r="N17">
        <v>127</v>
      </c>
      <c r="O17"/>
      <c r="P17">
        <v>128</v>
      </c>
      <c r="Q17"/>
      <c r="R17">
        <v>2</v>
      </c>
      <c r="S17"/>
      <c r="T17"/>
      <c r="U17">
        <v>399</v>
      </c>
      <c r="V17"/>
      <c r="W17"/>
      <c r="X17"/>
      <c r="Y17"/>
      <c r="Z17">
        <v>23</v>
      </c>
      <c r="AA17"/>
      <c r="AB17">
        <v>5</v>
      </c>
      <c r="AC17"/>
      <c r="AD17"/>
      <c r="AE17">
        <v>59</v>
      </c>
      <c r="AF17">
        <v>9</v>
      </c>
      <c r="AG17"/>
    </row>
    <row r="18" spans="1:33">
      <c r="A18" s="95" t="s">
        <v>218</v>
      </c>
      <c r="C18" s="109" t="s">
        <v>140</v>
      </c>
      <c r="F18">
        <v>10</v>
      </c>
      <c r="G18">
        <v>193</v>
      </c>
      <c r="H18"/>
      <c r="I18"/>
      <c r="J18"/>
      <c r="K18">
        <v>50</v>
      </c>
      <c r="L18"/>
      <c r="M18"/>
      <c r="N18">
        <v>42</v>
      </c>
      <c r="O18"/>
      <c r="P18">
        <v>19</v>
      </c>
      <c r="Q18"/>
      <c r="R18"/>
      <c r="S18"/>
      <c r="T18"/>
      <c r="U18">
        <v>108</v>
      </c>
      <c r="V18"/>
      <c r="W18"/>
      <c r="X18"/>
      <c r="Y18"/>
      <c r="Z18">
        <v>58</v>
      </c>
      <c r="AA18"/>
      <c r="AB18"/>
      <c r="AC18"/>
      <c r="AD18"/>
      <c r="AE18"/>
      <c r="AF18">
        <v>1</v>
      </c>
      <c r="AG18"/>
    </row>
    <row r="19" spans="1:33">
      <c r="A19" s="95" t="s">
        <v>218</v>
      </c>
      <c r="C19" s="109" t="s">
        <v>7</v>
      </c>
      <c r="F19">
        <v>13</v>
      </c>
      <c r="G19">
        <v>180</v>
      </c>
      <c r="H19">
        <v>1</v>
      </c>
      <c r="I19"/>
      <c r="J19">
        <v>6</v>
      </c>
      <c r="K19">
        <v>79</v>
      </c>
      <c r="L19">
        <v>110</v>
      </c>
      <c r="M19">
        <v>349</v>
      </c>
      <c r="N19">
        <v>112</v>
      </c>
      <c r="O19"/>
      <c r="P19">
        <v>29</v>
      </c>
      <c r="Q19"/>
      <c r="R19">
        <v>1</v>
      </c>
      <c r="S19"/>
      <c r="T19">
        <v>11</v>
      </c>
      <c r="U19">
        <v>85</v>
      </c>
      <c r="V19">
        <v>7</v>
      </c>
      <c r="W19"/>
      <c r="X19">
        <v>20</v>
      </c>
      <c r="Y19"/>
      <c r="Z19">
        <v>40</v>
      </c>
      <c r="AA19"/>
      <c r="AB19">
        <v>40</v>
      </c>
      <c r="AC19">
        <v>1</v>
      </c>
      <c r="AD19">
        <v>1</v>
      </c>
      <c r="AE19"/>
      <c r="AF19">
        <v>1</v>
      </c>
      <c r="AG19"/>
    </row>
    <row r="20" spans="1:33">
      <c r="A20" s="95" t="s">
        <v>218</v>
      </c>
      <c r="C20" s="109" t="s">
        <v>20</v>
      </c>
      <c r="F20">
        <v>4</v>
      </c>
      <c r="G20">
        <v>36</v>
      </c>
      <c r="H20"/>
      <c r="I20"/>
      <c r="J20">
        <v>12</v>
      </c>
      <c r="K20">
        <v>139</v>
      </c>
      <c r="L20"/>
      <c r="M20"/>
      <c r="N20">
        <v>30</v>
      </c>
      <c r="O20">
        <v>3</v>
      </c>
      <c r="P20">
        <v>51</v>
      </c>
      <c r="Q20"/>
      <c r="R20"/>
      <c r="S20"/>
      <c r="T20">
        <v>6</v>
      </c>
      <c r="U20">
        <v>9</v>
      </c>
      <c r="V20"/>
      <c r="W20"/>
      <c r="X20"/>
      <c r="Y20"/>
      <c r="Z20">
        <v>198</v>
      </c>
      <c r="AA20"/>
      <c r="AB20">
        <v>1</v>
      </c>
      <c r="AC20"/>
      <c r="AD20"/>
      <c r="AE20">
        <v>61</v>
      </c>
      <c r="AF20"/>
      <c r="AG20"/>
    </row>
    <row r="21" spans="1:33">
      <c r="A21" s="95" t="s">
        <v>218</v>
      </c>
      <c r="C21" s="109" t="s">
        <v>131</v>
      </c>
      <c r="F21">
        <v>323</v>
      </c>
      <c r="G21">
        <v>49</v>
      </c>
      <c r="H21"/>
      <c r="I21"/>
      <c r="J21">
        <v>16</v>
      </c>
      <c r="K21">
        <v>7</v>
      </c>
      <c r="L21">
        <v>1</v>
      </c>
      <c r="M21"/>
      <c r="N21">
        <v>0</v>
      </c>
      <c r="O21"/>
      <c r="P21">
        <v>2</v>
      </c>
      <c r="Q21"/>
      <c r="R21"/>
      <c r="S21"/>
      <c r="T21"/>
      <c r="U21">
        <v>4</v>
      </c>
      <c r="V21">
        <v>3</v>
      </c>
      <c r="W21"/>
      <c r="X21"/>
      <c r="Y21"/>
      <c r="Z21"/>
      <c r="AA21"/>
      <c r="AB21">
        <v>795</v>
      </c>
      <c r="AC21">
        <v>6</v>
      </c>
      <c r="AD21">
        <v>1</v>
      </c>
      <c r="AE21">
        <v>6</v>
      </c>
      <c r="AF21"/>
      <c r="AG21">
        <v>5</v>
      </c>
    </row>
    <row r="22" spans="1:33">
      <c r="A22" s="95" t="s">
        <v>218</v>
      </c>
      <c r="C22" s="2" t="s">
        <v>10</v>
      </c>
      <c r="F22">
        <v>51</v>
      </c>
      <c r="G22">
        <v>1</v>
      </c>
      <c r="H22">
        <v>7</v>
      </c>
      <c r="I22"/>
      <c r="J22">
        <v>31</v>
      </c>
      <c r="K22">
        <v>18</v>
      </c>
      <c r="L22">
        <v>2166</v>
      </c>
      <c r="M22"/>
      <c r="N22">
        <v>11</v>
      </c>
      <c r="O22"/>
      <c r="P22">
        <v>0</v>
      </c>
      <c r="Q22">
        <v>2</v>
      </c>
      <c r="R22"/>
      <c r="S22"/>
      <c r="T22"/>
      <c r="U22">
        <v>3372</v>
      </c>
      <c r="V22"/>
      <c r="W22"/>
      <c r="X22"/>
      <c r="Y22"/>
      <c r="Z22">
        <v>162</v>
      </c>
      <c r="AA22">
        <v>159</v>
      </c>
      <c r="AB22">
        <v>89</v>
      </c>
      <c r="AC22">
        <v>3854</v>
      </c>
      <c r="AD22">
        <v>1</v>
      </c>
      <c r="AE22">
        <v>187</v>
      </c>
      <c r="AF22"/>
      <c r="AG22"/>
    </row>
    <row r="23" spans="1:33" ht="24.75">
      <c r="A23" s="95" t="s">
        <v>218</v>
      </c>
      <c r="C23" s="2" t="s">
        <v>129</v>
      </c>
      <c r="F23">
        <v>10</v>
      </c>
      <c r="G23">
        <v>253</v>
      </c>
      <c r="H23">
        <v>79</v>
      </c>
      <c r="I23"/>
      <c r="J23">
        <v>28</v>
      </c>
      <c r="K23">
        <v>178</v>
      </c>
      <c r="L23">
        <v>2</v>
      </c>
      <c r="M23"/>
      <c r="N23">
        <v>1602</v>
      </c>
      <c r="O23"/>
      <c r="P23">
        <v>890</v>
      </c>
      <c r="Q23"/>
      <c r="R23">
        <v>23</v>
      </c>
      <c r="S23">
        <v>23</v>
      </c>
      <c r="T23">
        <v>40</v>
      </c>
      <c r="U23">
        <v>4840</v>
      </c>
      <c r="V23">
        <v>75</v>
      </c>
      <c r="W23"/>
      <c r="X23"/>
      <c r="Y23"/>
      <c r="Z23">
        <v>306</v>
      </c>
      <c r="AA23"/>
      <c r="AB23">
        <v>461</v>
      </c>
      <c r="AC23">
        <v>1657</v>
      </c>
      <c r="AD23">
        <v>62</v>
      </c>
      <c r="AE23">
        <v>2547</v>
      </c>
      <c r="AF23"/>
      <c r="AG23"/>
    </row>
    <row r="24" spans="1:33" ht="24.75">
      <c r="A24" s="95" t="s">
        <v>218</v>
      </c>
      <c r="C24" s="2" t="s">
        <v>24</v>
      </c>
      <c r="F24">
        <v>4</v>
      </c>
      <c r="G24"/>
      <c r="H24"/>
      <c r="I24"/>
      <c r="J24"/>
      <c r="K24">
        <v>441</v>
      </c>
      <c r="L24"/>
      <c r="M24"/>
      <c r="N24">
        <v>4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>
        <v>1896</v>
      </c>
      <c r="AF24"/>
      <c r="AG24"/>
    </row>
    <row r="25" spans="1:33">
      <c r="A25" s="95" t="s">
        <v>223</v>
      </c>
      <c r="C25" s="95" t="s">
        <v>165</v>
      </c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</row>
    <row r="26" spans="1:33">
      <c r="A26" s="95" t="s">
        <v>223</v>
      </c>
      <c r="C26" s="95" t="s">
        <v>178</v>
      </c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</row>
    <row r="27" spans="1:33" ht="24.75">
      <c r="C27" s="2" t="s">
        <v>28</v>
      </c>
      <c r="F27" s="95">
        <v>158</v>
      </c>
      <c r="G27" s="95">
        <v>2</v>
      </c>
      <c r="H27" s="95">
        <v>0</v>
      </c>
      <c r="I27" s="95">
        <v>0</v>
      </c>
      <c r="J27" s="95">
        <v>4</v>
      </c>
      <c r="K27" s="95">
        <v>22</v>
      </c>
      <c r="L27" s="95">
        <v>1</v>
      </c>
      <c r="M27" s="95">
        <v>0</v>
      </c>
      <c r="N27" s="95">
        <v>58</v>
      </c>
      <c r="O27" s="95">
        <v>2</v>
      </c>
      <c r="P27" s="95">
        <v>198</v>
      </c>
      <c r="Q27" s="95">
        <v>0</v>
      </c>
      <c r="R27" s="95">
        <v>10</v>
      </c>
      <c r="S27" s="95">
        <v>0</v>
      </c>
      <c r="T27" s="95">
        <v>0</v>
      </c>
      <c r="U27" s="95">
        <v>72</v>
      </c>
      <c r="V27" s="95">
        <v>0</v>
      </c>
      <c r="W27" s="95">
        <v>1</v>
      </c>
      <c r="X27" s="95">
        <v>0</v>
      </c>
      <c r="Y27" s="95">
        <v>5</v>
      </c>
      <c r="Z27" s="95">
        <v>22</v>
      </c>
      <c r="AA27" s="95">
        <v>0</v>
      </c>
      <c r="AB27" s="95">
        <v>0</v>
      </c>
      <c r="AC27" s="95">
        <v>6</v>
      </c>
      <c r="AD27" s="95">
        <v>2</v>
      </c>
      <c r="AE27" s="95">
        <v>0</v>
      </c>
      <c r="AF27" s="95">
        <v>49</v>
      </c>
      <c r="AG27" s="95">
        <v>0</v>
      </c>
    </row>
    <row r="29" spans="1:33">
      <c r="D29" s="95" t="s">
        <v>224</v>
      </c>
      <c r="F29" s="95">
        <f>SUM(F3:F26)</f>
        <v>821</v>
      </c>
      <c r="G29" s="95">
        <f t="shared" ref="G29:AG29" si="0">SUM(G3:G26)</f>
        <v>3943</v>
      </c>
      <c r="H29" s="95">
        <f t="shared" si="0"/>
        <v>98</v>
      </c>
      <c r="I29" s="95">
        <f t="shared" si="0"/>
        <v>33</v>
      </c>
      <c r="J29" s="95">
        <f t="shared" si="0"/>
        <v>5391</v>
      </c>
      <c r="K29" s="95">
        <f t="shared" si="0"/>
        <v>1727</v>
      </c>
      <c r="L29" s="95">
        <f t="shared" si="0"/>
        <v>5730</v>
      </c>
      <c r="M29" s="95">
        <f t="shared" si="0"/>
        <v>852</v>
      </c>
      <c r="N29" s="95">
        <f t="shared" si="0"/>
        <v>3325</v>
      </c>
      <c r="O29" s="95">
        <f t="shared" si="0"/>
        <v>342</v>
      </c>
      <c r="P29" s="95">
        <f t="shared" si="0"/>
        <v>11683</v>
      </c>
      <c r="Q29" s="95">
        <f t="shared" si="0"/>
        <v>343</v>
      </c>
      <c r="R29" s="95">
        <f t="shared" si="0"/>
        <v>47</v>
      </c>
      <c r="S29" s="95">
        <f t="shared" si="0"/>
        <v>59</v>
      </c>
      <c r="T29" s="95">
        <f t="shared" si="0"/>
        <v>141</v>
      </c>
      <c r="U29" s="95">
        <f t="shared" si="0"/>
        <v>13867</v>
      </c>
      <c r="V29" s="95">
        <f t="shared" si="0"/>
        <v>137</v>
      </c>
      <c r="W29" s="95">
        <f t="shared" si="0"/>
        <v>12</v>
      </c>
      <c r="X29" s="95">
        <f t="shared" si="0"/>
        <v>92</v>
      </c>
      <c r="Y29" s="95">
        <f t="shared" si="0"/>
        <v>13</v>
      </c>
      <c r="Z29" s="95">
        <f t="shared" si="0"/>
        <v>1864</v>
      </c>
      <c r="AA29" s="95">
        <f t="shared" si="0"/>
        <v>194</v>
      </c>
      <c r="AB29" s="95">
        <f t="shared" si="0"/>
        <v>2739</v>
      </c>
      <c r="AC29" s="95">
        <f t="shared" si="0"/>
        <v>6838</v>
      </c>
      <c r="AD29" s="95">
        <f t="shared" si="0"/>
        <v>128</v>
      </c>
      <c r="AE29" s="95">
        <f t="shared" si="0"/>
        <v>6589</v>
      </c>
      <c r="AF29" s="95">
        <f t="shared" si="0"/>
        <v>37</v>
      </c>
      <c r="AG29" s="95">
        <f t="shared" si="0"/>
        <v>15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28"/>
  <sheetViews>
    <sheetView zoomScale="85" zoomScaleNormal="85" zoomScaleSheetLayoutView="90" workbookViewId="0">
      <pane xSplit="1" ySplit="1" topLeftCell="B2" activePane="bottomRight" state="frozen"/>
      <selection pane="topRight" activeCell="C1" sqref="C1"/>
      <selection pane="bottomLeft" activeCell="A4" sqref="A4"/>
      <selection pane="bottomRight" activeCell="D35" sqref="D35"/>
    </sheetView>
  </sheetViews>
  <sheetFormatPr baseColWidth="10" defaultColWidth="8.5703125" defaultRowHeight="15.75"/>
  <cols>
    <col min="1" max="1" width="27" style="117" customWidth="1"/>
    <col min="2" max="2" width="53.5703125" style="117" customWidth="1"/>
    <col min="3" max="3" width="12" style="118" customWidth="1"/>
    <col min="4" max="4" width="23.28515625" style="117" customWidth="1"/>
    <col min="5" max="5" width="25" style="117" customWidth="1"/>
    <col min="6" max="16384" width="8.5703125" style="117"/>
  </cols>
  <sheetData>
    <row r="2" spans="1:17" ht="31.5">
      <c r="A2" s="120" t="s">
        <v>385</v>
      </c>
      <c r="B2" s="119" t="s">
        <v>386</v>
      </c>
      <c r="C2" s="120" t="s">
        <v>387</v>
      </c>
      <c r="D2" s="120" t="s">
        <v>388</v>
      </c>
      <c r="E2" s="120" t="s">
        <v>389</v>
      </c>
    </row>
    <row r="3" spans="1:17" ht="14.65" customHeight="1">
      <c r="A3" s="149" t="s">
        <v>1</v>
      </c>
      <c r="B3" s="121" t="s">
        <v>172</v>
      </c>
      <c r="C3" s="122" t="s">
        <v>92</v>
      </c>
      <c r="D3" s="117">
        <v>1</v>
      </c>
      <c r="E3" s="117">
        <v>1</v>
      </c>
    </row>
    <row r="4" spans="1:17" ht="14.65" customHeight="1">
      <c r="A4" s="149"/>
      <c r="B4" s="121" t="s">
        <v>229</v>
      </c>
      <c r="C4" s="122" t="s">
        <v>93</v>
      </c>
    </row>
    <row r="5" spans="1:17" ht="14.65" customHeight="1">
      <c r="A5" s="149"/>
      <c r="B5" s="121" t="s">
        <v>226</v>
      </c>
      <c r="C5" s="123" t="s">
        <v>227</v>
      </c>
    </row>
    <row r="6" spans="1:17" ht="14.65" customHeight="1">
      <c r="A6" s="149"/>
      <c r="B6" s="121" t="s">
        <v>171</v>
      </c>
      <c r="C6" s="123" t="s">
        <v>170</v>
      </c>
    </row>
    <row r="7" spans="1:17" ht="14.65" customHeight="1">
      <c r="A7" s="149" t="s">
        <v>3</v>
      </c>
      <c r="B7" s="121" t="s">
        <v>4</v>
      </c>
      <c r="C7" s="122" t="s">
        <v>94</v>
      </c>
      <c r="D7" s="117">
        <v>7</v>
      </c>
      <c r="E7" s="117">
        <v>37</v>
      </c>
    </row>
    <row r="8" spans="1:17" ht="14.65" customHeight="1">
      <c r="A8" s="149"/>
      <c r="B8" s="121" t="s">
        <v>125</v>
      </c>
      <c r="C8" s="122" t="s">
        <v>95</v>
      </c>
      <c r="I8" s="124"/>
      <c r="J8" s="124"/>
      <c r="K8" s="124"/>
      <c r="L8" s="124"/>
      <c r="M8" s="124"/>
      <c r="N8" s="124"/>
      <c r="O8" s="124"/>
      <c r="P8" s="124"/>
      <c r="Q8" s="124"/>
    </row>
    <row r="9" spans="1:17" ht="14.65" customHeight="1">
      <c r="A9" s="149"/>
      <c r="B9" s="121" t="s">
        <v>126</v>
      </c>
      <c r="C9" s="122" t="s">
        <v>96</v>
      </c>
      <c r="I9" s="124"/>
      <c r="J9" s="124"/>
      <c r="K9" s="124"/>
      <c r="L9" s="124"/>
      <c r="M9" s="124"/>
      <c r="N9" s="124"/>
      <c r="O9" s="124"/>
      <c r="P9" s="124"/>
      <c r="Q9" s="124"/>
    </row>
    <row r="10" spans="1:17" ht="14.65" customHeight="1">
      <c r="A10" s="149"/>
      <c r="B10" s="121" t="s">
        <v>6</v>
      </c>
      <c r="C10" s="122" t="s">
        <v>97</v>
      </c>
      <c r="D10" s="117">
        <v>5</v>
      </c>
      <c r="E10" s="117">
        <v>4</v>
      </c>
      <c r="I10" s="124"/>
      <c r="J10" s="124"/>
      <c r="K10" s="124"/>
      <c r="L10" s="124"/>
      <c r="M10" s="124"/>
      <c r="N10" s="124"/>
      <c r="O10" s="124"/>
      <c r="P10" s="124"/>
      <c r="Q10" s="124"/>
    </row>
    <row r="11" spans="1:17" ht="14.65" customHeight="1">
      <c r="A11" s="149"/>
      <c r="B11" s="121" t="s">
        <v>7</v>
      </c>
      <c r="C11" s="123" t="s">
        <v>141</v>
      </c>
      <c r="D11" s="117">
        <v>1</v>
      </c>
      <c r="E11" s="117">
        <v>1</v>
      </c>
      <c r="I11" s="124"/>
      <c r="J11" s="124"/>
      <c r="K11" s="124"/>
      <c r="L11" s="124"/>
      <c r="M11" s="124"/>
      <c r="N11" s="124"/>
      <c r="O11" s="124"/>
      <c r="P11" s="124"/>
      <c r="Q11" s="124"/>
    </row>
    <row r="12" spans="1:17" ht="14.65" customHeight="1">
      <c r="A12" s="149"/>
      <c r="B12" s="121" t="s">
        <v>8</v>
      </c>
      <c r="C12" s="122" t="s">
        <v>99</v>
      </c>
      <c r="D12" s="117">
        <v>1</v>
      </c>
      <c r="E12" s="117">
        <v>1</v>
      </c>
      <c r="I12" s="124"/>
      <c r="J12" s="124"/>
      <c r="K12" s="124"/>
      <c r="L12" s="124"/>
      <c r="M12" s="124"/>
      <c r="N12" s="124"/>
      <c r="O12" s="124"/>
      <c r="P12" s="124"/>
      <c r="Q12" s="124"/>
    </row>
    <row r="13" spans="1:17" ht="14.65" customHeight="1">
      <c r="A13" s="149"/>
      <c r="B13" s="121" t="s">
        <v>122</v>
      </c>
      <c r="C13" s="125" t="s">
        <v>116</v>
      </c>
      <c r="I13" s="124"/>
      <c r="J13" s="124"/>
      <c r="K13" s="124"/>
      <c r="L13" s="124"/>
      <c r="M13" s="124"/>
      <c r="N13" s="124"/>
      <c r="O13" s="124"/>
      <c r="P13" s="124"/>
      <c r="Q13" s="124"/>
    </row>
    <row r="14" spans="1:17" ht="14.65" customHeight="1">
      <c r="A14" s="149" t="s">
        <v>9</v>
      </c>
      <c r="B14" s="121" t="s">
        <v>127</v>
      </c>
      <c r="C14" s="122" t="s">
        <v>100</v>
      </c>
      <c r="I14" s="124"/>
      <c r="J14" s="124"/>
      <c r="K14" s="124"/>
      <c r="L14" s="124"/>
      <c r="M14" s="124"/>
      <c r="N14" s="124"/>
      <c r="O14" s="124"/>
      <c r="P14" s="124"/>
      <c r="Q14" s="124"/>
    </row>
    <row r="15" spans="1:17" ht="14.65" customHeight="1">
      <c r="A15" s="149"/>
      <c r="B15" s="121" t="s">
        <v>11</v>
      </c>
      <c r="C15" s="122" t="s">
        <v>101</v>
      </c>
      <c r="I15" s="124"/>
      <c r="J15" s="124"/>
      <c r="K15" s="124"/>
      <c r="L15" s="124"/>
      <c r="M15" s="124"/>
      <c r="N15" s="124"/>
      <c r="O15" s="124"/>
      <c r="P15" s="124"/>
      <c r="Q15" s="124"/>
    </row>
    <row r="16" spans="1:17" ht="14.65" customHeight="1">
      <c r="A16" s="126" t="s">
        <v>168</v>
      </c>
      <c r="B16" s="121" t="s">
        <v>13</v>
      </c>
      <c r="C16" s="122" t="s">
        <v>102</v>
      </c>
      <c r="D16" s="117">
        <v>4</v>
      </c>
      <c r="E16" s="117">
        <v>6</v>
      </c>
      <c r="I16" s="124"/>
      <c r="J16" s="124"/>
      <c r="K16" s="124"/>
      <c r="L16" s="124"/>
      <c r="M16" s="124"/>
      <c r="N16" s="124"/>
      <c r="O16" s="124"/>
      <c r="P16" s="124"/>
      <c r="Q16" s="124"/>
    </row>
    <row r="17" spans="1:17" ht="14.65" customHeight="1">
      <c r="A17" s="126" t="s">
        <v>225</v>
      </c>
      <c r="B17" s="121" t="s">
        <v>130</v>
      </c>
      <c r="C17" s="123" t="s">
        <v>103</v>
      </c>
      <c r="I17" s="124"/>
      <c r="J17" s="124"/>
      <c r="K17" s="124"/>
      <c r="L17" s="124"/>
      <c r="M17" s="124"/>
      <c r="N17" s="124"/>
      <c r="O17" s="124"/>
      <c r="P17" s="124"/>
      <c r="Q17" s="124"/>
    </row>
    <row r="18" spans="1:17">
      <c r="A18" s="149" t="s">
        <v>29</v>
      </c>
      <c r="B18" s="121" t="s">
        <v>24</v>
      </c>
      <c r="C18" s="123" t="s">
        <v>115</v>
      </c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14.65" customHeight="1">
      <c r="A19" s="149"/>
      <c r="B19" s="121" t="s">
        <v>173</v>
      </c>
      <c r="C19" s="122" t="s">
        <v>104</v>
      </c>
      <c r="I19" s="124"/>
      <c r="J19" s="124"/>
      <c r="K19" s="124"/>
      <c r="L19" s="124"/>
      <c r="M19" s="124"/>
      <c r="N19" s="124"/>
      <c r="O19" s="124"/>
      <c r="P19" s="124"/>
      <c r="Q19" s="124"/>
    </row>
    <row r="20" spans="1:17" ht="14.65" customHeight="1">
      <c r="A20" s="149" t="s">
        <v>16</v>
      </c>
      <c r="B20" s="121" t="s">
        <v>26</v>
      </c>
      <c r="C20" s="122" t="s">
        <v>105</v>
      </c>
      <c r="I20" s="124"/>
      <c r="J20" s="124"/>
      <c r="K20" s="124"/>
      <c r="L20" s="124"/>
      <c r="M20" s="124"/>
      <c r="N20" s="124"/>
      <c r="O20" s="124"/>
      <c r="P20" s="124"/>
      <c r="Q20" s="124"/>
    </row>
    <row r="21" spans="1:17" ht="14.65" customHeight="1">
      <c r="A21" s="149"/>
      <c r="B21" s="121" t="s">
        <v>237</v>
      </c>
      <c r="C21" s="122" t="s">
        <v>106</v>
      </c>
      <c r="I21" s="124"/>
      <c r="J21" s="124"/>
      <c r="K21" s="124"/>
      <c r="L21" s="124"/>
      <c r="M21" s="124"/>
      <c r="N21" s="124"/>
      <c r="O21" s="124"/>
      <c r="P21" s="124"/>
      <c r="Q21" s="124"/>
    </row>
    <row r="22" spans="1:17" ht="14.65" customHeight="1">
      <c r="A22" s="126" t="s">
        <v>17</v>
      </c>
      <c r="B22" s="121" t="s">
        <v>180</v>
      </c>
      <c r="C22" s="122" t="s">
        <v>107</v>
      </c>
      <c r="I22" s="124"/>
      <c r="J22" s="124"/>
      <c r="K22" s="124"/>
      <c r="L22" s="124"/>
      <c r="M22" s="124"/>
      <c r="N22" s="124"/>
      <c r="O22" s="124"/>
      <c r="P22" s="124"/>
      <c r="Q22" s="124"/>
    </row>
    <row r="23" spans="1:17" ht="14.65" customHeight="1">
      <c r="A23" s="126" t="s">
        <v>19</v>
      </c>
      <c r="B23" s="121" t="s">
        <v>20</v>
      </c>
      <c r="C23" s="122" t="s">
        <v>108</v>
      </c>
      <c r="I23" s="124"/>
      <c r="J23" s="124"/>
      <c r="K23" s="124"/>
      <c r="L23" s="124"/>
      <c r="M23" s="124"/>
      <c r="N23" s="124"/>
      <c r="O23" s="124"/>
      <c r="P23" s="124"/>
      <c r="Q23" s="124"/>
    </row>
    <row r="24" spans="1:17" ht="14.65" customHeight="1">
      <c r="A24" s="149" t="s">
        <v>21</v>
      </c>
      <c r="B24" s="121" t="s">
        <v>128</v>
      </c>
      <c r="C24" s="122" t="s">
        <v>111</v>
      </c>
      <c r="I24" s="124"/>
      <c r="J24" s="124"/>
      <c r="K24" s="124"/>
      <c r="L24" s="124"/>
      <c r="M24" s="124"/>
      <c r="N24" s="124"/>
      <c r="O24" s="124"/>
      <c r="P24" s="124"/>
      <c r="Q24" s="124"/>
    </row>
    <row r="25" spans="1:17" ht="14.65" customHeight="1">
      <c r="A25" s="149"/>
      <c r="B25" s="121" t="s">
        <v>129</v>
      </c>
      <c r="C25" s="122" t="s">
        <v>112</v>
      </c>
      <c r="D25" s="117">
        <v>1</v>
      </c>
      <c r="E25" s="117">
        <v>46</v>
      </c>
      <c r="F25" s="127"/>
      <c r="I25" s="124"/>
      <c r="J25" s="124"/>
      <c r="K25" s="124"/>
      <c r="L25" s="124"/>
      <c r="M25" s="124"/>
      <c r="N25" s="124"/>
      <c r="O25" s="124"/>
      <c r="P25" s="124"/>
      <c r="Q25" s="124"/>
    </row>
    <row r="26" spans="1:17" ht="18.600000000000001" customHeight="1">
      <c r="A26" s="149"/>
      <c r="B26" s="128" t="s">
        <v>131</v>
      </c>
      <c r="C26" s="123" t="s">
        <v>132</v>
      </c>
      <c r="I26" s="124"/>
      <c r="J26" s="124"/>
      <c r="K26" s="124"/>
      <c r="L26" s="124"/>
      <c r="M26" s="124"/>
      <c r="N26" s="124"/>
      <c r="O26" s="124"/>
      <c r="P26" s="124"/>
      <c r="Q26" s="124"/>
    </row>
    <row r="27" spans="1:17" ht="40.15" customHeight="1">
      <c r="A27" s="126" t="s">
        <v>27</v>
      </c>
      <c r="B27" s="121" t="s">
        <v>28</v>
      </c>
      <c r="C27" s="122" t="s">
        <v>113</v>
      </c>
      <c r="I27" s="124"/>
      <c r="J27" s="124"/>
      <c r="K27" s="124"/>
      <c r="L27" s="124"/>
      <c r="M27" s="124"/>
      <c r="N27" s="124"/>
      <c r="O27" s="124"/>
      <c r="P27" s="124"/>
      <c r="Q27" s="124"/>
    </row>
    <row r="28" spans="1:17">
      <c r="A28" s="148"/>
      <c r="B28" s="148"/>
      <c r="C28" s="129"/>
      <c r="D28" s="122">
        <f>SUM(D3:D27)</f>
        <v>20</v>
      </c>
      <c r="E28" s="122">
        <f>SUM(E3:E27)</f>
        <v>96</v>
      </c>
    </row>
  </sheetData>
  <mergeCells count="7">
    <mergeCell ref="A28:B28"/>
    <mergeCell ref="A20:A21"/>
    <mergeCell ref="A24:A26"/>
    <mergeCell ref="A3:A6"/>
    <mergeCell ref="A7:A13"/>
    <mergeCell ref="A14:A15"/>
    <mergeCell ref="A18:A19"/>
  </mergeCells>
  <hyperlinks>
    <hyperlink ref="C27" r:id="rId1" display="2017/175/EC" xr:uid="{A8304DA1-F364-4180-912E-38CDF95AE393}"/>
    <hyperlink ref="C25" r:id="rId2" display="2009/568/EC" xr:uid="{FA01D9C5-23C3-4AD8-B36A-15BBE1D05D15}"/>
    <hyperlink ref="C24" r:id="rId3" display="2011/333/EU " xr:uid="{4D4CDB42-EC58-4E4F-B5FA-E7DA6CEAEDAA}"/>
  </hyperlink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108C0-3F99-4842-947A-90AF8BEB9C80}">
  <dimension ref="B2:M91"/>
  <sheetViews>
    <sheetView tabSelected="1" topLeftCell="A37" zoomScale="70" zoomScaleNormal="70" workbookViewId="0">
      <selection activeCell="V22" sqref="V22"/>
    </sheetView>
  </sheetViews>
  <sheetFormatPr baseColWidth="10" defaultRowHeight="15"/>
  <cols>
    <col min="1" max="1" width="4.140625" customWidth="1"/>
    <col min="2" max="2" width="26.42578125" style="136" bestFit="1" customWidth="1"/>
    <col min="3" max="3" width="35.140625" bestFit="1" customWidth="1"/>
    <col min="4" max="4" width="36.42578125" style="17" customWidth="1"/>
    <col min="5" max="5" width="24.140625" customWidth="1"/>
  </cols>
  <sheetData>
    <row r="2" spans="2:13">
      <c r="B2" s="135" t="s">
        <v>238</v>
      </c>
      <c r="C2" s="135" t="s">
        <v>239</v>
      </c>
      <c r="D2" s="135" t="s">
        <v>240</v>
      </c>
      <c r="E2" s="135" t="s">
        <v>241</v>
      </c>
    </row>
    <row r="3" spans="2:13" ht="28.5">
      <c r="B3" s="164" t="s">
        <v>366</v>
      </c>
      <c r="C3" s="158" t="s">
        <v>242</v>
      </c>
      <c r="D3" s="130" t="s">
        <v>243</v>
      </c>
      <c r="E3" s="162" t="s">
        <v>244</v>
      </c>
      <c r="G3" s="146" t="s">
        <v>374</v>
      </c>
      <c r="H3" s="146" t="s">
        <v>375</v>
      </c>
      <c r="I3" s="146" t="s">
        <v>376</v>
      </c>
      <c r="J3" s="146" t="s">
        <v>377</v>
      </c>
      <c r="K3" s="146" t="s">
        <v>378</v>
      </c>
      <c r="L3" s="146" t="s">
        <v>379</v>
      </c>
      <c r="M3" s="146" t="s">
        <v>318</v>
      </c>
    </row>
    <row r="4" spans="2:13" ht="28.5">
      <c r="B4" s="164"/>
      <c r="C4" s="160"/>
      <c r="D4" s="130" t="s">
        <v>245</v>
      </c>
      <c r="E4" s="162"/>
      <c r="G4" s="146">
        <v>8</v>
      </c>
      <c r="H4" s="146">
        <v>25</v>
      </c>
      <c r="I4" s="146">
        <v>5</v>
      </c>
      <c r="J4" s="146">
        <v>1</v>
      </c>
      <c r="K4" s="146">
        <v>1</v>
      </c>
      <c r="L4" s="146">
        <v>1</v>
      </c>
      <c r="M4" s="146">
        <v>46</v>
      </c>
    </row>
    <row r="5" spans="2:13">
      <c r="B5" s="164"/>
      <c r="C5" s="158" t="s">
        <v>246</v>
      </c>
      <c r="D5" s="130" t="s">
        <v>247</v>
      </c>
      <c r="E5" s="162" t="s">
        <v>248</v>
      </c>
    </row>
    <row r="6" spans="2:13">
      <c r="B6" s="164"/>
      <c r="C6" s="160"/>
      <c r="D6" s="130" t="s">
        <v>249</v>
      </c>
      <c r="E6" s="162"/>
    </row>
    <row r="7" spans="2:13">
      <c r="B7" s="164"/>
      <c r="C7" s="139" t="s">
        <v>250</v>
      </c>
      <c r="D7" s="130" t="s">
        <v>251</v>
      </c>
      <c r="E7" s="141" t="s">
        <v>252</v>
      </c>
    </row>
    <row r="8" spans="2:13" ht="28.5" customHeight="1">
      <c r="B8" s="164"/>
      <c r="C8" s="139" t="s">
        <v>253</v>
      </c>
      <c r="D8" s="130" t="s">
        <v>254</v>
      </c>
      <c r="E8" s="141" t="s">
        <v>255</v>
      </c>
    </row>
    <row r="9" spans="2:13" ht="45.75" customHeight="1">
      <c r="B9" s="164"/>
      <c r="C9" s="139" t="s">
        <v>256</v>
      </c>
      <c r="D9" s="130" t="s">
        <v>257</v>
      </c>
      <c r="E9" s="141" t="s">
        <v>258</v>
      </c>
    </row>
    <row r="10" spans="2:13" ht="46.5" customHeight="1">
      <c r="B10" s="164"/>
      <c r="C10" s="139" t="s">
        <v>259</v>
      </c>
      <c r="D10" s="130" t="s">
        <v>260</v>
      </c>
      <c r="E10" s="142" t="s">
        <v>261</v>
      </c>
    </row>
    <row r="11" spans="2:13" ht="32.25" customHeight="1">
      <c r="B11" s="164" t="s">
        <v>367</v>
      </c>
      <c r="C11" s="158" t="s">
        <v>262</v>
      </c>
      <c r="D11" s="130" t="s">
        <v>263</v>
      </c>
      <c r="E11" s="162" t="s">
        <v>264</v>
      </c>
    </row>
    <row r="12" spans="2:13" ht="43.5" customHeight="1">
      <c r="B12" s="164"/>
      <c r="C12" s="159"/>
      <c r="D12" s="130" t="s">
        <v>265</v>
      </c>
      <c r="E12" s="162"/>
    </row>
    <row r="13" spans="2:13">
      <c r="B13" s="164"/>
      <c r="C13" s="159"/>
      <c r="D13" s="130" t="s">
        <v>266</v>
      </c>
      <c r="E13" s="162"/>
    </row>
    <row r="14" spans="2:13" ht="28.5">
      <c r="B14" s="164"/>
      <c r="C14" s="159"/>
      <c r="D14" s="130" t="s">
        <v>267</v>
      </c>
      <c r="E14" s="162"/>
    </row>
    <row r="15" spans="2:13">
      <c r="B15" s="164"/>
      <c r="C15" s="160"/>
      <c r="D15" s="130" t="s">
        <v>268</v>
      </c>
      <c r="E15" s="162"/>
    </row>
    <row r="16" spans="2:13" ht="28.5" customHeight="1">
      <c r="B16" s="164"/>
      <c r="C16" s="158" t="s">
        <v>269</v>
      </c>
      <c r="D16" s="130" t="s">
        <v>270</v>
      </c>
      <c r="E16" s="162" t="s">
        <v>271</v>
      </c>
    </row>
    <row r="17" spans="2:11" ht="28.5">
      <c r="B17" s="164"/>
      <c r="C17" s="159"/>
      <c r="D17" s="130" t="s">
        <v>272</v>
      </c>
      <c r="E17" s="162"/>
    </row>
    <row r="18" spans="2:11" ht="28.5">
      <c r="B18" s="164"/>
      <c r="C18" s="159"/>
      <c r="D18" s="130" t="s">
        <v>273</v>
      </c>
      <c r="E18" s="162"/>
      <c r="G18" s="147" t="s">
        <v>380</v>
      </c>
      <c r="H18" s="147" t="s">
        <v>381</v>
      </c>
      <c r="I18" s="147" t="s">
        <v>382</v>
      </c>
      <c r="J18" s="147" t="s">
        <v>383</v>
      </c>
      <c r="K18" s="147" t="s">
        <v>384</v>
      </c>
    </row>
    <row r="19" spans="2:11" ht="28.5">
      <c r="B19" s="164"/>
      <c r="C19" s="159"/>
      <c r="D19" s="130" t="s">
        <v>274</v>
      </c>
      <c r="E19" s="162"/>
      <c r="G19" s="147">
        <v>9</v>
      </c>
      <c r="H19" s="147">
        <v>0</v>
      </c>
      <c r="I19" s="147">
        <v>4</v>
      </c>
      <c r="J19" s="147">
        <v>5</v>
      </c>
      <c r="K19" s="147">
        <v>0</v>
      </c>
    </row>
    <row r="20" spans="2:11" ht="28.5" customHeight="1">
      <c r="B20" s="164"/>
      <c r="C20" s="160"/>
      <c r="D20" s="130" t="s">
        <v>275</v>
      </c>
      <c r="E20" s="162"/>
    </row>
    <row r="21" spans="2:11">
      <c r="B21" s="164"/>
      <c r="C21" s="158" t="s">
        <v>276</v>
      </c>
      <c r="D21" s="130" t="s">
        <v>277</v>
      </c>
      <c r="E21" s="161" t="s">
        <v>278</v>
      </c>
    </row>
    <row r="22" spans="2:11">
      <c r="B22" s="164"/>
      <c r="C22" s="159"/>
      <c r="D22" s="130" t="s">
        <v>279</v>
      </c>
      <c r="E22" s="161"/>
    </row>
    <row r="23" spans="2:11">
      <c r="B23" s="164"/>
      <c r="C23" s="159"/>
      <c r="D23" s="130" t="s">
        <v>280</v>
      </c>
      <c r="E23" s="161"/>
    </row>
    <row r="24" spans="2:11">
      <c r="B24" s="164"/>
      <c r="C24" s="160"/>
      <c r="D24" s="130" t="s">
        <v>281</v>
      </c>
      <c r="E24" s="161"/>
    </row>
    <row r="25" spans="2:11" ht="28.5">
      <c r="B25" s="164"/>
      <c r="C25" s="158" t="s">
        <v>282</v>
      </c>
      <c r="D25" s="130" t="s">
        <v>283</v>
      </c>
      <c r="E25" s="162" t="s">
        <v>284</v>
      </c>
    </row>
    <row r="26" spans="2:11" ht="28.5">
      <c r="B26" s="164"/>
      <c r="C26" s="159"/>
      <c r="D26" s="130" t="s">
        <v>285</v>
      </c>
      <c r="E26" s="162"/>
    </row>
    <row r="27" spans="2:11" ht="43.5" customHeight="1">
      <c r="B27" s="164"/>
      <c r="C27" s="159"/>
      <c r="D27" s="130" t="s">
        <v>286</v>
      </c>
      <c r="E27" s="162"/>
    </row>
    <row r="28" spans="2:11" ht="28.5">
      <c r="B28" s="164"/>
      <c r="C28" s="159"/>
      <c r="D28" s="130" t="s">
        <v>287</v>
      </c>
      <c r="E28" s="162"/>
    </row>
    <row r="29" spans="2:11" ht="28.5">
      <c r="B29" s="164"/>
      <c r="C29" s="159"/>
      <c r="D29" s="130" t="s">
        <v>288</v>
      </c>
      <c r="E29" s="162"/>
    </row>
    <row r="30" spans="2:11">
      <c r="B30" s="164"/>
      <c r="C30" s="160"/>
      <c r="D30" s="130" t="s">
        <v>289</v>
      </c>
      <c r="E30" s="143" t="s">
        <v>290</v>
      </c>
    </row>
    <row r="31" spans="2:11" ht="30" customHeight="1">
      <c r="B31" s="164"/>
      <c r="C31" s="152" t="s">
        <v>291</v>
      </c>
      <c r="D31" s="133" t="s">
        <v>292</v>
      </c>
      <c r="E31" s="138" t="s">
        <v>293</v>
      </c>
    </row>
    <row r="32" spans="2:11">
      <c r="B32" s="164"/>
      <c r="C32" s="153"/>
      <c r="D32" s="134" t="s">
        <v>294</v>
      </c>
      <c r="E32" s="144" t="s">
        <v>295</v>
      </c>
    </row>
    <row r="33" spans="2:5" ht="28.5" customHeight="1">
      <c r="B33" s="164"/>
      <c r="C33" s="153"/>
      <c r="D33" s="130" t="s">
        <v>296</v>
      </c>
      <c r="E33" s="143" t="s">
        <v>297</v>
      </c>
    </row>
    <row r="34" spans="2:5">
      <c r="B34" s="164"/>
      <c r="C34" s="153"/>
      <c r="D34" s="133" t="s">
        <v>298</v>
      </c>
      <c r="E34" s="138" t="s">
        <v>299</v>
      </c>
    </row>
    <row r="35" spans="2:5">
      <c r="B35" s="164"/>
      <c r="C35" s="154"/>
      <c r="D35" s="133" t="s">
        <v>300</v>
      </c>
      <c r="E35" s="138" t="s">
        <v>301</v>
      </c>
    </row>
    <row r="36" spans="2:5" ht="28.5" customHeight="1">
      <c r="B36" s="150" t="s">
        <v>368</v>
      </c>
      <c r="C36" s="158" t="s">
        <v>282</v>
      </c>
      <c r="D36" s="130" t="s">
        <v>302</v>
      </c>
      <c r="E36" s="163" t="s">
        <v>303</v>
      </c>
    </row>
    <row r="37" spans="2:5">
      <c r="B37" s="151"/>
      <c r="C37" s="160"/>
      <c r="D37" s="130" t="s">
        <v>304</v>
      </c>
      <c r="E37" s="163"/>
    </row>
    <row r="38" spans="2:5" ht="28.5">
      <c r="B38" s="151"/>
      <c r="C38" s="139" t="s">
        <v>262</v>
      </c>
      <c r="D38" s="130" t="s">
        <v>305</v>
      </c>
      <c r="E38" s="143" t="s">
        <v>306</v>
      </c>
    </row>
    <row r="39" spans="2:5">
      <c r="B39" s="151"/>
      <c r="C39" s="139" t="s">
        <v>276</v>
      </c>
      <c r="D39" s="130" t="s">
        <v>307</v>
      </c>
      <c r="E39" s="143" t="s">
        <v>308</v>
      </c>
    </row>
    <row r="40" spans="2:5" ht="35.25" customHeight="1">
      <c r="B40" s="151"/>
      <c r="C40" s="140" t="s">
        <v>291</v>
      </c>
      <c r="D40" s="130" t="s">
        <v>309</v>
      </c>
      <c r="E40" s="141" t="s">
        <v>310</v>
      </c>
    </row>
    <row r="41" spans="2:5" ht="42.75" customHeight="1">
      <c r="B41" s="137" t="s">
        <v>369</v>
      </c>
      <c r="C41" s="139" t="s">
        <v>311</v>
      </c>
      <c r="D41" s="130" t="s">
        <v>312</v>
      </c>
      <c r="E41" s="143" t="s">
        <v>313</v>
      </c>
    </row>
    <row r="42" spans="2:5" ht="57" customHeight="1">
      <c r="B42" s="137" t="s">
        <v>370</v>
      </c>
      <c r="C42" s="139" t="s">
        <v>276</v>
      </c>
      <c r="D42" s="131" t="s">
        <v>314</v>
      </c>
      <c r="E42" s="141" t="s">
        <v>315</v>
      </c>
    </row>
    <row r="43" spans="2:5" ht="28.5">
      <c r="B43" s="137" t="s">
        <v>371</v>
      </c>
      <c r="C43" s="139" t="s">
        <v>262</v>
      </c>
      <c r="D43" s="130" t="s">
        <v>316</v>
      </c>
      <c r="E43" s="143" t="s">
        <v>317</v>
      </c>
    </row>
    <row r="44" spans="2:5" ht="28.5" customHeight="1">
      <c r="B44" s="150" t="s">
        <v>372</v>
      </c>
      <c r="C44" s="152" t="s">
        <v>319</v>
      </c>
      <c r="D44" s="130" t="s">
        <v>320</v>
      </c>
      <c r="E44" s="155" t="s">
        <v>373</v>
      </c>
    </row>
    <row r="45" spans="2:5" ht="28.5" customHeight="1">
      <c r="B45" s="151"/>
      <c r="C45" s="153"/>
      <c r="D45" s="130" t="s">
        <v>321</v>
      </c>
      <c r="E45" s="156"/>
    </row>
    <row r="46" spans="2:5" ht="28.5" customHeight="1">
      <c r="B46" s="151"/>
      <c r="C46" s="153"/>
      <c r="D46" s="130" t="s">
        <v>322</v>
      </c>
      <c r="E46" s="156"/>
    </row>
    <row r="47" spans="2:5">
      <c r="B47" s="151"/>
      <c r="C47" s="153"/>
      <c r="D47" s="130" t="s">
        <v>323</v>
      </c>
      <c r="E47" s="156"/>
    </row>
    <row r="48" spans="2:5" ht="28.5" customHeight="1">
      <c r="B48" s="151"/>
      <c r="C48" s="153"/>
      <c r="D48" s="130" t="s">
        <v>324</v>
      </c>
      <c r="E48" s="156"/>
    </row>
    <row r="49" spans="2:5" ht="28.5" customHeight="1">
      <c r="B49" s="151"/>
      <c r="C49" s="153"/>
      <c r="D49" s="130" t="s">
        <v>325</v>
      </c>
      <c r="E49" s="156"/>
    </row>
    <row r="50" spans="2:5" ht="28.5" customHeight="1">
      <c r="B50" s="151"/>
      <c r="C50" s="153"/>
      <c r="D50" s="130" t="s">
        <v>326</v>
      </c>
      <c r="E50" s="156"/>
    </row>
    <row r="51" spans="2:5" ht="28.5" customHeight="1">
      <c r="B51" s="151"/>
      <c r="C51" s="153"/>
      <c r="D51" s="130" t="s">
        <v>327</v>
      </c>
      <c r="E51" s="156"/>
    </row>
    <row r="52" spans="2:5">
      <c r="B52" s="151"/>
      <c r="C52" s="153"/>
      <c r="D52" s="130" t="s">
        <v>328</v>
      </c>
      <c r="E52" s="156"/>
    </row>
    <row r="53" spans="2:5" ht="28.5" customHeight="1">
      <c r="B53" s="151"/>
      <c r="C53" s="153"/>
      <c r="D53" s="130" t="s">
        <v>329</v>
      </c>
      <c r="E53" s="156"/>
    </row>
    <row r="54" spans="2:5">
      <c r="B54" s="151"/>
      <c r="C54" s="153"/>
      <c r="D54" s="130" t="s">
        <v>330</v>
      </c>
      <c r="E54" s="156"/>
    </row>
    <row r="55" spans="2:5">
      <c r="B55" s="151"/>
      <c r="C55" s="153"/>
      <c r="D55" s="130" t="s">
        <v>331</v>
      </c>
      <c r="E55" s="156"/>
    </row>
    <row r="56" spans="2:5">
      <c r="B56" s="151"/>
      <c r="C56" s="153"/>
      <c r="D56" s="130" t="s">
        <v>332</v>
      </c>
      <c r="E56" s="156"/>
    </row>
    <row r="57" spans="2:5">
      <c r="B57" s="151"/>
      <c r="C57" s="153"/>
      <c r="D57" s="130" t="s">
        <v>333</v>
      </c>
      <c r="E57" s="156"/>
    </row>
    <row r="58" spans="2:5">
      <c r="B58" s="151"/>
      <c r="C58" s="153"/>
      <c r="D58" s="130" t="s">
        <v>334</v>
      </c>
      <c r="E58" s="156"/>
    </row>
    <row r="59" spans="2:5" ht="28.5" customHeight="1">
      <c r="B59" s="151"/>
      <c r="C59" s="153"/>
      <c r="D59" s="130" t="s">
        <v>335</v>
      </c>
      <c r="E59" s="156"/>
    </row>
    <row r="60" spans="2:5">
      <c r="B60" s="151"/>
      <c r="C60" s="153"/>
      <c r="D60" s="130" t="s">
        <v>336</v>
      </c>
      <c r="E60" s="156"/>
    </row>
    <row r="61" spans="2:5">
      <c r="B61" s="151"/>
      <c r="C61" s="153"/>
      <c r="D61" s="130" t="s">
        <v>337</v>
      </c>
      <c r="E61" s="156"/>
    </row>
    <row r="62" spans="2:5">
      <c r="B62" s="151"/>
      <c r="C62" s="153"/>
      <c r="D62" s="130" t="s">
        <v>338</v>
      </c>
      <c r="E62" s="156"/>
    </row>
    <row r="63" spans="2:5">
      <c r="B63" s="151"/>
      <c r="C63" s="153"/>
      <c r="D63" s="130" t="s">
        <v>339</v>
      </c>
      <c r="E63" s="156"/>
    </row>
    <row r="64" spans="2:5">
      <c r="B64" s="151"/>
      <c r="C64" s="153"/>
      <c r="D64" s="130" t="s">
        <v>340</v>
      </c>
      <c r="E64" s="156"/>
    </row>
    <row r="65" spans="2:5">
      <c r="B65" s="151"/>
      <c r="C65" s="153"/>
      <c r="D65" s="130" t="s">
        <v>341</v>
      </c>
      <c r="E65" s="156"/>
    </row>
    <row r="66" spans="2:5">
      <c r="B66" s="151"/>
      <c r="C66" s="153"/>
      <c r="D66" s="130" t="s">
        <v>342</v>
      </c>
      <c r="E66" s="156"/>
    </row>
    <row r="67" spans="2:5">
      <c r="B67" s="151"/>
      <c r="C67" s="153"/>
      <c r="D67" s="130" t="s">
        <v>343</v>
      </c>
      <c r="E67" s="156"/>
    </row>
    <row r="68" spans="2:5">
      <c r="B68" s="151"/>
      <c r="C68" s="153"/>
      <c r="D68" s="130" t="s">
        <v>344</v>
      </c>
      <c r="E68" s="156"/>
    </row>
    <row r="69" spans="2:5">
      <c r="B69" s="151"/>
      <c r="C69" s="153"/>
      <c r="D69" s="130" t="s">
        <v>345</v>
      </c>
      <c r="E69" s="156"/>
    </row>
    <row r="70" spans="2:5">
      <c r="B70" s="151"/>
      <c r="C70" s="153"/>
      <c r="D70" s="130" t="s">
        <v>346</v>
      </c>
      <c r="E70" s="156"/>
    </row>
    <row r="71" spans="2:5">
      <c r="B71" s="151"/>
      <c r="C71" s="153"/>
      <c r="D71" s="130" t="s">
        <v>347</v>
      </c>
      <c r="E71" s="156"/>
    </row>
    <row r="72" spans="2:5">
      <c r="B72" s="151"/>
      <c r="C72" s="153"/>
      <c r="D72" s="130" t="s">
        <v>348</v>
      </c>
      <c r="E72" s="156"/>
    </row>
    <row r="73" spans="2:5" ht="27.75" customHeight="1">
      <c r="B73" s="151"/>
      <c r="C73" s="153"/>
      <c r="D73" s="130" t="s">
        <v>349</v>
      </c>
      <c r="E73" s="156"/>
    </row>
    <row r="74" spans="2:5" ht="28.5" customHeight="1">
      <c r="B74" s="151"/>
      <c r="C74" s="153"/>
      <c r="D74" s="130" t="s">
        <v>350</v>
      </c>
      <c r="E74" s="156"/>
    </row>
    <row r="75" spans="2:5" ht="28.5" customHeight="1">
      <c r="B75" s="151"/>
      <c r="C75" s="153"/>
      <c r="D75" s="130" t="s">
        <v>351</v>
      </c>
      <c r="E75" s="156"/>
    </row>
    <row r="76" spans="2:5" ht="28.5">
      <c r="B76" s="151"/>
      <c r="C76" s="153"/>
      <c r="D76" s="130" t="s">
        <v>352</v>
      </c>
      <c r="E76" s="156"/>
    </row>
    <row r="77" spans="2:5" ht="28.5" customHeight="1">
      <c r="B77" s="151"/>
      <c r="C77" s="153"/>
      <c r="D77" s="130" t="s">
        <v>353</v>
      </c>
      <c r="E77" s="156"/>
    </row>
    <row r="78" spans="2:5">
      <c r="B78" s="151"/>
      <c r="C78" s="153"/>
      <c r="D78" s="130" t="s">
        <v>354</v>
      </c>
      <c r="E78" s="156"/>
    </row>
    <row r="79" spans="2:5">
      <c r="B79" s="151"/>
      <c r="C79" s="153"/>
      <c r="D79" s="130" t="s">
        <v>355</v>
      </c>
      <c r="E79" s="156"/>
    </row>
    <row r="80" spans="2:5">
      <c r="B80" s="151"/>
      <c r="C80" s="153"/>
      <c r="D80" s="130" t="s">
        <v>356</v>
      </c>
      <c r="E80" s="156"/>
    </row>
    <row r="81" spans="2:5">
      <c r="B81" s="151"/>
      <c r="C81" s="153"/>
      <c r="D81" s="130" t="s">
        <v>357</v>
      </c>
      <c r="E81" s="156"/>
    </row>
    <row r="82" spans="2:5">
      <c r="B82" s="151"/>
      <c r="C82" s="153"/>
      <c r="D82" s="130" t="s">
        <v>358</v>
      </c>
      <c r="E82" s="156"/>
    </row>
    <row r="83" spans="2:5">
      <c r="B83" s="151"/>
      <c r="C83" s="153"/>
      <c r="D83" s="130" t="s">
        <v>359</v>
      </c>
      <c r="E83" s="156"/>
    </row>
    <row r="84" spans="2:5">
      <c r="B84" s="151"/>
      <c r="C84" s="153"/>
      <c r="D84" s="130" t="s">
        <v>360</v>
      </c>
      <c r="E84" s="156"/>
    </row>
    <row r="85" spans="2:5">
      <c r="B85" s="151"/>
      <c r="C85" s="153"/>
      <c r="D85" s="130" t="s">
        <v>361</v>
      </c>
      <c r="E85" s="156"/>
    </row>
    <row r="86" spans="2:5">
      <c r="B86" s="151"/>
      <c r="C86" s="153"/>
      <c r="D86" s="130" t="s">
        <v>362</v>
      </c>
      <c r="E86" s="156"/>
    </row>
    <row r="87" spans="2:5">
      <c r="B87" s="151"/>
      <c r="C87" s="153"/>
      <c r="D87" s="130" t="s">
        <v>363</v>
      </c>
      <c r="E87" s="156"/>
    </row>
    <row r="88" spans="2:5">
      <c r="B88" s="151"/>
      <c r="C88" s="153"/>
      <c r="D88" s="130" t="s">
        <v>364</v>
      </c>
      <c r="E88" s="156"/>
    </row>
    <row r="89" spans="2:5">
      <c r="B89" s="151"/>
      <c r="C89" s="154"/>
      <c r="D89" s="130" t="s">
        <v>365</v>
      </c>
      <c r="E89" s="157"/>
    </row>
    <row r="90" spans="2:5">
      <c r="C90" s="132"/>
      <c r="D90" s="145"/>
      <c r="E90" s="132"/>
    </row>
    <row r="91" spans="2:5">
      <c r="C91" s="132"/>
      <c r="D91" s="145"/>
      <c r="E91" s="132"/>
    </row>
  </sheetData>
  <mergeCells count="21">
    <mergeCell ref="B3:B10"/>
    <mergeCell ref="C3:C4"/>
    <mergeCell ref="E3:E4"/>
    <mergeCell ref="C5:C6"/>
    <mergeCell ref="E5:E6"/>
    <mergeCell ref="B44:B89"/>
    <mergeCell ref="C44:C89"/>
    <mergeCell ref="E44:E89"/>
    <mergeCell ref="C21:C24"/>
    <mergeCell ref="E21:E24"/>
    <mergeCell ref="C25:C30"/>
    <mergeCell ref="E25:E29"/>
    <mergeCell ref="C31:C35"/>
    <mergeCell ref="B36:B40"/>
    <mergeCell ref="C36:C37"/>
    <mergeCell ref="E36:E37"/>
    <mergeCell ref="B11:B35"/>
    <mergeCell ref="C11:C15"/>
    <mergeCell ref="E11:E15"/>
    <mergeCell ref="C16:C20"/>
    <mergeCell ref="E16:E20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1639B"/>
  </sheetPr>
  <dimension ref="B1:AM71"/>
  <sheetViews>
    <sheetView zoomScale="70" zoomScaleNormal="70" workbookViewId="0">
      <selection activeCell="E29" sqref="E29"/>
    </sheetView>
  </sheetViews>
  <sheetFormatPr baseColWidth="10" defaultColWidth="8.7109375" defaultRowHeight="15"/>
  <cols>
    <col min="2" max="2" width="17.42578125" customWidth="1"/>
    <col min="3" max="3" width="45.5703125" customWidth="1"/>
    <col min="4" max="4" width="11.42578125" customWidth="1"/>
    <col min="5" max="35" width="8.7109375" customWidth="1"/>
    <col min="36" max="36" width="13.28515625" customWidth="1"/>
    <col min="38" max="38" width="12" bestFit="1" customWidth="1"/>
  </cols>
  <sheetData>
    <row r="1" spans="2:38" s="18" customFormat="1" ht="15.75" thickBot="1">
      <c r="B1" s="26"/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  <c r="S1" s="26">
        <v>17</v>
      </c>
      <c r="T1" s="26">
        <v>18</v>
      </c>
      <c r="U1" s="26">
        <v>19</v>
      </c>
      <c r="V1" s="26">
        <v>20</v>
      </c>
      <c r="W1" s="26">
        <v>21</v>
      </c>
      <c r="X1" s="26">
        <v>22</v>
      </c>
      <c r="Y1" s="26">
        <v>23</v>
      </c>
      <c r="Z1" s="26">
        <v>24</v>
      </c>
      <c r="AA1" s="26">
        <v>25</v>
      </c>
      <c r="AB1" s="26">
        <v>26</v>
      </c>
      <c r="AC1" s="26">
        <v>27</v>
      </c>
      <c r="AD1" s="26">
        <v>28</v>
      </c>
      <c r="AE1" s="26">
        <v>29</v>
      </c>
      <c r="AF1" s="26">
        <v>30</v>
      </c>
      <c r="AG1" s="26">
        <v>31</v>
      </c>
      <c r="AH1" s="26">
        <v>32</v>
      </c>
      <c r="AI1" s="26"/>
      <c r="AJ1" s="26">
        <v>33</v>
      </c>
    </row>
    <row r="2" spans="2:38" ht="16.5" thickTop="1" thickBot="1">
      <c r="B2" s="5" t="s">
        <v>34</v>
      </c>
      <c r="C2" s="6"/>
      <c r="D2" s="6"/>
      <c r="E2" s="7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9"/>
    </row>
    <row r="3" spans="2:38" ht="16.5" thickTop="1" thickBot="1">
      <c r="B3" s="3" t="s">
        <v>91</v>
      </c>
      <c r="C3" s="3" t="s">
        <v>0</v>
      </c>
      <c r="D3" s="3" t="s">
        <v>114</v>
      </c>
      <c r="E3" s="20" t="s">
        <v>35</v>
      </c>
      <c r="F3" s="20" t="s">
        <v>36</v>
      </c>
      <c r="G3" s="20" t="s">
        <v>37</v>
      </c>
      <c r="H3" s="20" t="s">
        <v>39</v>
      </c>
      <c r="I3" s="20" t="s">
        <v>33</v>
      </c>
      <c r="J3" s="20" t="s">
        <v>44</v>
      </c>
      <c r="K3" s="20" t="s">
        <v>40</v>
      </c>
      <c r="L3" s="20" t="s">
        <v>41</v>
      </c>
      <c r="M3" s="20" t="s">
        <v>135</v>
      </c>
      <c r="N3" s="20" t="s">
        <v>59</v>
      </c>
      <c r="O3" s="20" t="s">
        <v>42</v>
      </c>
      <c r="P3" s="20" t="s">
        <v>43</v>
      </c>
      <c r="Q3" s="20" t="s">
        <v>137</v>
      </c>
      <c r="R3" s="20" t="s">
        <v>45</v>
      </c>
      <c r="S3" s="20" t="s">
        <v>47</v>
      </c>
      <c r="T3" s="20" t="s">
        <v>46</v>
      </c>
      <c r="U3" s="20" t="s">
        <v>48</v>
      </c>
      <c r="V3" s="20" t="s">
        <v>50</v>
      </c>
      <c r="W3" s="20" t="s">
        <v>51</v>
      </c>
      <c r="X3" s="20" t="s">
        <v>49</v>
      </c>
      <c r="Y3" s="20" t="s">
        <v>52</v>
      </c>
      <c r="Z3" s="20" t="s">
        <v>53</v>
      </c>
      <c r="AA3" s="20" t="s">
        <v>54</v>
      </c>
      <c r="AB3" s="20" t="s">
        <v>121</v>
      </c>
      <c r="AC3" s="20" t="s">
        <v>55</v>
      </c>
      <c r="AD3" s="20" t="s">
        <v>56</v>
      </c>
      <c r="AE3" s="20" t="s">
        <v>60</v>
      </c>
      <c r="AF3" s="20" t="s">
        <v>58</v>
      </c>
      <c r="AG3" s="20" t="s">
        <v>57</v>
      </c>
      <c r="AH3" s="45" t="s">
        <v>169</v>
      </c>
      <c r="AI3" s="45" t="s">
        <v>138</v>
      </c>
      <c r="AJ3" s="22" t="s">
        <v>61</v>
      </c>
    </row>
    <row r="4" spans="2:38" ht="16.5" thickTop="1" thickBot="1">
      <c r="B4" s="21" t="s">
        <v>1</v>
      </c>
      <c r="C4" s="76" t="s">
        <v>172</v>
      </c>
      <c r="D4" s="77" t="s">
        <v>92</v>
      </c>
      <c r="E4" s="38" t="e">
        <f>'LICENCIAS Y PRODUCTOS 2025-03'!#REF!</f>
        <v>#REF!</v>
      </c>
      <c r="F4" s="38" t="e">
        <f>'LICENCIAS Y PRODUCTOS 2025-03'!#REF!</f>
        <v>#REF!</v>
      </c>
      <c r="G4" s="38" t="e">
        <f>'LICENCIAS Y PRODUCTOS 2025-03'!#REF!</f>
        <v>#REF!</v>
      </c>
      <c r="H4" s="38" t="e">
        <f>'LICENCIAS Y PRODUCTOS 2025-03'!#REF!</f>
        <v>#REF!</v>
      </c>
      <c r="I4" s="38" t="e">
        <f>'LICENCIAS Y PRODUCTOS 2025-03'!#REF!</f>
        <v>#REF!</v>
      </c>
      <c r="J4" s="38" t="e">
        <f>'LICENCIAS Y PRODUCTOS 2025-03'!#REF!</f>
        <v>#REF!</v>
      </c>
      <c r="K4" s="38" t="e">
        <f>'LICENCIAS Y PRODUCTOS 2025-03'!#REF!</f>
        <v>#REF!</v>
      </c>
      <c r="L4" s="38" t="e">
        <f>'LICENCIAS Y PRODUCTOS 2025-03'!#REF!</f>
        <v>#REF!</v>
      </c>
      <c r="M4" s="38" t="e">
        <f>'LICENCIAS Y PRODUCTOS 2025-03'!#REF!</f>
        <v>#REF!</v>
      </c>
      <c r="N4" s="38">
        <f>'LICENCIAS Y PRODUCTOS 2025-03'!D3</f>
        <v>1</v>
      </c>
      <c r="O4" s="38" t="e">
        <f>'LICENCIAS Y PRODUCTOS 2025-03'!#REF!</f>
        <v>#REF!</v>
      </c>
      <c r="P4" s="38" t="e">
        <f>'LICENCIAS Y PRODUCTOS 2025-03'!#REF!</f>
        <v>#REF!</v>
      </c>
      <c r="Q4" s="38" t="e">
        <f>'LICENCIAS Y PRODUCTOS 2025-03'!#REF!</f>
        <v>#REF!</v>
      </c>
      <c r="R4" s="38" t="e">
        <f>'LICENCIAS Y PRODUCTOS 2025-03'!#REF!</f>
        <v>#REF!</v>
      </c>
      <c r="S4" s="38" t="e">
        <f>'LICENCIAS Y PRODUCTOS 2025-03'!#REF!</f>
        <v>#REF!</v>
      </c>
      <c r="T4" s="38" t="e">
        <f>'LICENCIAS Y PRODUCTOS 2025-03'!#REF!</f>
        <v>#REF!</v>
      </c>
      <c r="U4" s="38" t="e">
        <f>'LICENCIAS Y PRODUCTOS 2025-03'!#REF!</f>
        <v>#REF!</v>
      </c>
      <c r="V4" s="38" t="e">
        <f>'LICENCIAS Y PRODUCTOS 2025-03'!#REF!</f>
        <v>#REF!</v>
      </c>
      <c r="W4" s="38" t="e">
        <f>'LICENCIAS Y PRODUCTOS 2025-03'!#REF!</f>
        <v>#REF!</v>
      </c>
      <c r="X4" s="38" t="e">
        <f>'LICENCIAS Y PRODUCTOS 2025-03'!#REF!</f>
        <v>#REF!</v>
      </c>
      <c r="Y4" s="38" t="e">
        <f>'LICENCIAS Y PRODUCTOS 2025-03'!#REF!</f>
        <v>#REF!</v>
      </c>
      <c r="Z4" s="38" t="e">
        <f>'LICENCIAS Y PRODUCTOS 2025-03'!#REF!</f>
        <v>#REF!</v>
      </c>
      <c r="AA4" s="38" t="e">
        <f>'LICENCIAS Y PRODUCTOS 2025-03'!#REF!</f>
        <v>#REF!</v>
      </c>
      <c r="AB4" s="38" t="e">
        <f>'LICENCIAS Y PRODUCTOS 2025-03'!#REF!</f>
        <v>#REF!</v>
      </c>
      <c r="AC4" s="38" t="e">
        <f>'LICENCIAS Y PRODUCTOS 2025-03'!#REF!</f>
        <v>#REF!</v>
      </c>
      <c r="AD4" s="38" t="e">
        <f>'LICENCIAS Y PRODUCTOS 2025-03'!#REF!</f>
        <v>#REF!</v>
      </c>
      <c r="AE4" s="38" t="e">
        <f>'LICENCIAS Y PRODUCTOS 2025-03'!#REF!</f>
        <v>#REF!</v>
      </c>
      <c r="AF4" s="38" t="e">
        <f>'LICENCIAS Y PRODUCTOS 2025-03'!#REF!</f>
        <v>#REF!</v>
      </c>
      <c r="AG4" s="38" t="e">
        <f>'LICENCIAS Y PRODUCTOS 2025-03'!#REF!</f>
        <v>#REF!</v>
      </c>
      <c r="AH4" s="38" t="e">
        <f>'LICENCIAS Y PRODUCTOS 2025-03'!#REF!</f>
        <v>#REF!</v>
      </c>
      <c r="AI4" s="38"/>
      <c r="AJ4" s="87" t="e">
        <f t="shared" ref="AJ4:AJ29" si="0">SUM(E4:AI4)</f>
        <v>#REF!</v>
      </c>
      <c r="AL4" s="75" t="e">
        <f>AJ4/$AJ$30</f>
        <v>#REF!</v>
      </c>
    </row>
    <row r="5" spans="2:38" ht="16.5" thickTop="1" thickBot="1">
      <c r="B5" s="21" t="s">
        <v>1</v>
      </c>
      <c r="C5" s="112" t="s">
        <v>236</v>
      </c>
      <c r="D5" s="113" t="s">
        <v>93</v>
      </c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5">
        <f t="shared" si="0"/>
        <v>0</v>
      </c>
      <c r="AL5" s="75" t="e">
        <f t="shared" ref="AL5:AL29" si="1">AJ5/$AJ$30</f>
        <v>#REF!</v>
      </c>
    </row>
    <row r="6" spans="2:38" ht="16.5" thickTop="1" thickBot="1">
      <c r="B6" s="21" t="s">
        <v>1</v>
      </c>
      <c r="C6" s="2" t="s">
        <v>229</v>
      </c>
      <c r="D6" s="108" t="s">
        <v>93</v>
      </c>
      <c r="E6" s="38" t="e">
        <f>'LICENCIAS Y PRODUCTOS 2025-03'!#REF!</f>
        <v>#REF!</v>
      </c>
      <c r="F6" s="38" t="e">
        <f>'LICENCIAS Y PRODUCTOS 2025-03'!#REF!</f>
        <v>#REF!</v>
      </c>
      <c r="G6" s="38" t="e">
        <f>'LICENCIAS Y PRODUCTOS 2025-03'!#REF!</f>
        <v>#REF!</v>
      </c>
      <c r="H6" s="38" t="e">
        <f>'LICENCIAS Y PRODUCTOS 2025-03'!#REF!</f>
        <v>#REF!</v>
      </c>
      <c r="I6" s="38" t="e">
        <f>'LICENCIAS Y PRODUCTOS 2025-03'!#REF!</f>
        <v>#REF!</v>
      </c>
      <c r="J6" s="38" t="e">
        <f>'LICENCIAS Y PRODUCTOS 2025-03'!#REF!</f>
        <v>#REF!</v>
      </c>
      <c r="K6" s="38" t="e">
        <f>'LICENCIAS Y PRODUCTOS 2025-03'!#REF!</f>
        <v>#REF!</v>
      </c>
      <c r="L6" s="38" t="e">
        <f>'LICENCIAS Y PRODUCTOS 2025-03'!#REF!</f>
        <v>#REF!</v>
      </c>
      <c r="M6" s="38" t="e">
        <f>'LICENCIAS Y PRODUCTOS 2025-03'!#REF!</f>
        <v>#REF!</v>
      </c>
      <c r="N6" s="38">
        <f>'LICENCIAS Y PRODUCTOS 2025-03'!D4</f>
        <v>0</v>
      </c>
      <c r="O6" s="38" t="e">
        <f>'LICENCIAS Y PRODUCTOS 2025-03'!#REF!</f>
        <v>#REF!</v>
      </c>
      <c r="P6" s="38" t="e">
        <f>'LICENCIAS Y PRODUCTOS 2025-03'!#REF!</f>
        <v>#REF!</v>
      </c>
      <c r="Q6" s="38" t="e">
        <f>'LICENCIAS Y PRODUCTOS 2025-03'!#REF!</f>
        <v>#REF!</v>
      </c>
      <c r="R6" s="38" t="e">
        <f>'LICENCIAS Y PRODUCTOS 2025-03'!#REF!</f>
        <v>#REF!</v>
      </c>
      <c r="S6" s="38" t="e">
        <f>'LICENCIAS Y PRODUCTOS 2025-03'!#REF!</f>
        <v>#REF!</v>
      </c>
      <c r="T6" s="38" t="e">
        <f>'LICENCIAS Y PRODUCTOS 2025-03'!#REF!</f>
        <v>#REF!</v>
      </c>
      <c r="U6" s="38" t="e">
        <f>'LICENCIAS Y PRODUCTOS 2025-03'!#REF!</f>
        <v>#REF!</v>
      </c>
      <c r="V6" s="38" t="e">
        <f>'LICENCIAS Y PRODUCTOS 2025-03'!#REF!</f>
        <v>#REF!</v>
      </c>
      <c r="W6" s="38" t="e">
        <f>'LICENCIAS Y PRODUCTOS 2025-03'!#REF!</f>
        <v>#REF!</v>
      </c>
      <c r="X6" s="38" t="e">
        <f>'LICENCIAS Y PRODUCTOS 2025-03'!#REF!</f>
        <v>#REF!</v>
      </c>
      <c r="Y6" s="38" t="e">
        <f>'LICENCIAS Y PRODUCTOS 2025-03'!#REF!</f>
        <v>#REF!</v>
      </c>
      <c r="Z6" s="38" t="e">
        <f>'LICENCIAS Y PRODUCTOS 2025-03'!#REF!</f>
        <v>#REF!</v>
      </c>
      <c r="AA6" s="38" t="e">
        <f>'LICENCIAS Y PRODUCTOS 2025-03'!#REF!</f>
        <v>#REF!</v>
      </c>
      <c r="AB6" s="38" t="e">
        <f>'LICENCIAS Y PRODUCTOS 2025-03'!#REF!</f>
        <v>#REF!</v>
      </c>
      <c r="AC6" s="38" t="e">
        <f>'LICENCIAS Y PRODUCTOS 2025-03'!#REF!</f>
        <v>#REF!</v>
      </c>
      <c r="AD6" s="38" t="e">
        <f>'LICENCIAS Y PRODUCTOS 2025-03'!#REF!</f>
        <v>#REF!</v>
      </c>
      <c r="AE6" s="38" t="e">
        <f>'LICENCIAS Y PRODUCTOS 2025-03'!#REF!</f>
        <v>#REF!</v>
      </c>
      <c r="AF6" s="38" t="e">
        <f>'LICENCIAS Y PRODUCTOS 2025-03'!#REF!</f>
        <v>#REF!</v>
      </c>
      <c r="AG6" s="38" t="e">
        <f>'LICENCIAS Y PRODUCTOS 2025-03'!#REF!</f>
        <v>#REF!</v>
      </c>
      <c r="AH6" s="38" t="e">
        <f>'LICENCIAS Y PRODUCTOS 2025-03'!#REF!</f>
        <v>#REF!</v>
      </c>
      <c r="AI6" s="38"/>
      <c r="AJ6" s="87" t="e">
        <f t="shared" si="0"/>
        <v>#REF!</v>
      </c>
      <c r="AL6" s="75" t="e">
        <f t="shared" si="1"/>
        <v>#REF!</v>
      </c>
    </row>
    <row r="7" spans="2:38" ht="16.5" thickTop="1" thickBot="1">
      <c r="B7" s="21" t="s">
        <v>1</v>
      </c>
      <c r="C7" s="2" t="s">
        <v>226</v>
      </c>
      <c r="D7" s="108" t="s">
        <v>227</v>
      </c>
      <c r="E7" s="38" t="e">
        <f>'LICENCIAS Y PRODUCTOS 2025-03'!#REF!</f>
        <v>#REF!</v>
      </c>
      <c r="F7" s="38" t="e">
        <f>'LICENCIAS Y PRODUCTOS 2025-03'!#REF!</f>
        <v>#REF!</v>
      </c>
      <c r="G7" s="38" t="e">
        <f>'LICENCIAS Y PRODUCTOS 2025-03'!#REF!</f>
        <v>#REF!</v>
      </c>
      <c r="H7" s="38" t="e">
        <f>'LICENCIAS Y PRODUCTOS 2025-03'!#REF!</f>
        <v>#REF!</v>
      </c>
      <c r="I7" s="38" t="e">
        <f>'LICENCIAS Y PRODUCTOS 2025-03'!#REF!</f>
        <v>#REF!</v>
      </c>
      <c r="J7" s="38" t="e">
        <f>'LICENCIAS Y PRODUCTOS 2025-03'!#REF!</f>
        <v>#REF!</v>
      </c>
      <c r="K7" s="38" t="e">
        <f>'LICENCIAS Y PRODUCTOS 2025-03'!#REF!</f>
        <v>#REF!</v>
      </c>
      <c r="L7" s="38" t="e">
        <f>'LICENCIAS Y PRODUCTOS 2025-03'!#REF!</f>
        <v>#REF!</v>
      </c>
      <c r="M7" s="38" t="e">
        <f>'LICENCIAS Y PRODUCTOS 2025-03'!#REF!</f>
        <v>#REF!</v>
      </c>
      <c r="N7" s="38">
        <f>'LICENCIAS Y PRODUCTOS 2025-03'!D5</f>
        <v>0</v>
      </c>
      <c r="O7" s="38" t="e">
        <f>'LICENCIAS Y PRODUCTOS 2025-03'!#REF!</f>
        <v>#REF!</v>
      </c>
      <c r="P7" s="38" t="e">
        <f>'LICENCIAS Y PRODUCTOS 2025-03'!#REF!</f>
        <v>#REF!</v>
      </c>
      <c r="Q7" s="38" t="e">
        <f>'LICENCIAS Y PRODUCTOS 2025-03'!#REF!</f>
        <v>#REF!</v>
      </c>
      <c r="R7" s="38" t="e">
        <f>'LICENCIAS Y PRODUCTOS 2025-03'!#REF!</f>
        <v>#REF!</v>
      </c>
      <c r="S7" s="38" t="e">
        <f>'LICENCIAS Y PRODUCTOS 2025-03'!#REF!</f>
        <v>#REF!</v>
      </c>
      <c r="T7" s="38" t="e">
        <f>'LICENCIAS Y PRODUCTOS 2025-03'!#REF!</f>
        <v>#REF!</v>
      </c>
      <c r="U7" s="38" t="e">
        <f>'LICENCIAS Y PRODUCTOS 2025-03'!#REF!</f>
        <v>#REF!</v>
      </c>
      <c r="V7" s="38" t="e">
        <f>'LICENCIAS Y PRODUCTOS 2025-03'!#REF!</f>
        <v>#REF!</v>
      </c>
      <c r="W7" s="38" t="e">
        <f>'LICENCIAS Y PRODUCTOS 2025-03'!#REF!</f>
        <v>#REF!</v>
      </c>
      <c r="X7" s="38" t="e">
        <f>'LICENCIAS Y PRODUCTOS 2025-03'!#REF!</f>
        <v>#REF!</v>
      </c>
      <c r="Y7" s="38" t="e">
        <f>'LICENCIAS Y PRODUCTOS 2025-03'!#REF!</f>
        <v>#REF!</v>
      </c>
      <c r="Z7" s="38" t="e">
        <f>'LICENCIAS Y PRODUCTOS 2025-03'!#REF!</f>
        <v>#REF!</v>
      </c>
      <c r="AA7" s="38" t="e">
        <f>'LICENCIAS Y PRODUCTOS 2025-03'!#REF!</f>
        <v>#REF!</v>
      </c>
      <c r="AB7" s="38" t="e">
        <f>'LICENCIAS Y PRODUCTOS 2025-03'!#REF!</f>
        <v>#REF!</v>
      </c>
      <c r="AC7" s="38" t="e">
        <f>'LICENCIAS Y PRODUCTOS 2025-03'!#REF!</f>
        <v>#REF!</v>
      </c>
      <c r="AD7" s="38" t="e">
        <f>'LICENCIAS Y PRODUCTOS 2025-03'!#REF!</f>
        <v>#REF!</v>
      </c>
      <c r="AE7" s="38" t="e">
        <f>'LICENCIAS Y PRODUCTOS 2025-03'!#REF!</f>
        <v>#REF!</v>
      </c>
      <c r="AF7" s="38" t="e">
        <f>'LICENCIAS Y PRODUCTOS 2025-03'!#REF!</f>
        <v>#REF!</v>
      </c>
      <c r="AG7" s="38" t="e">
        <f>'LICENCIAS Y PRODUCTOS 2025-03'!#REF!</f>
        <v>#REF!</v>
      </c>
      <c r="AH7" s="38" t="e">
        <f>'LICENCIAS Y PRODUCTOS 2025-03'!#REF!</f>
        <v>#REF!</v>
      </c>
      <c r="AI7" s="38"/>
      <c r="AJ7" s="87" t="e">
        <f t="shared" si="0"/>
        <v>#REF!</v>
      </c>
      <c r="AL7" s="75" t="e">
        <f t="shared" si="1"/>
        <v>#REF!</v>
      </c>
    </row>
    <row r="8" spans="2:38" ht="16.5" thickTop="1" thickBot="1">
      <c r="B8" s="21" t="s">
        <v>1</v>
      </c>
      <c r="C8" s="2" t="s">
        <v>171</v>
      </c>
      <c r="D8" s="23" t="s">
        <v>170</v>
      </c>
      <c r="E8" s="38" t="e">
        <f>'LICENCIAS Y PRODUCTOS 2025-03'!#REF!</f>
        <v>#REF!</v>
      </c>
      <c r="F8" s="38" t="e">
        <f>'LICENCIAS Y PRODUCTOS 2025-03'!#REF!</f>
        <v>#REF!</v>
      </c>
      <c r="G8" s="38" t="e">
        <f>'LICENCIAS Y PRODUCTOS 2025-03'!#REF!</f>
        <v>#REF!</v>
      </c>
      <c r="H8" s="38" t="e">
        <f>'LICENCIAS Y PRODUCTOS 2025-03'!#REF!</f>
        <v>#REF!</v>
      </c>
      <c r="I8" s="38" t="e">
        <f>'LICENCIAS Y PRODUCTOS 2025-03'!#REF!</f>
        <v>#REF!</v>
      </c>
      <c r="J8" s="38" t="e">
        <f>'LICENCIAS Y PRODUCTOS 2025-03'!#REF!</f>
        <v>#REF!</v>
      </c>
      <c r="K8" s="38" t="e">
        <f>'LICENCIAS Y PRODUCTOS 2025-03'!#REF!</f>
        <v>#REF!</v>
      </c>
      <c r="L8" s="38" t="e">
        <f>'LICENCIAS Y PRODUCTOS 2025-03'!#REF!</f>
        <v>#REF!</v>
      </c>
      <c r="M8" s="38" t="e">
        <f>'LICENCIAS Y PRODUCTOS 2025-03'!#REF!</f>
        <v>#REF!</v>
      </c>
      <c r="N8" s="38">
        <f>'LICENCIAS Y PRODUCTOS 2025-03'!D6</f>
        <v>0</v>
      </c>
      <c r="O8" s="38" t="e">
        <f>'LICENCIAS Y PRODUCTOS 2025-03'!#REF!</f>
        <v>#REF!</v>
      </c>
      <c r="P8" s="38" t="e">
        <f>'LICENCIAS Y PRODUCTOS 2025-03'!#REF!</f>
        <v>#REF!</v>
      </c>
      <c r="Q8" s="38" t="e">
        <f>'LICENCIAS Y PRODUCTOS 2025-03'!#REF!</f>
        <v>#REF!</v>
      </c>
      <c r="R8" s="38" t="e">
        <f>'LICENCIAS Y PRODUCTOS 2025-03'!#REF!</f>
        <v>#REF!</v>
      </c>
      <c r="S8" s="38" t="e">
        <f>'LICENCIAS Y PRODUCTOS 2025-03'!#REF!</f>
        <v>#REF!</v>
      </c>
      <c r="T8" s="38" t="e">
        <f>'LICENCIAS Y PRODUCTOS 2025-03'!#REF!</f>
        <v>#REF!</v>
      </c>
      <c r="U8" s="38" t="e">
        <f>'LICENCIAS Y PRODUCTOS 2025-03'!#REF!</f>
        <v>#REF!</v>
      </c>
      <c r="V8" s="38" t="e">
        <f>'LICENCIAS Y PRODUCTOS 2025-03'!#REF!</f>
        <v>#REF!</v>
      </c>
      <c r="W8" s="38" t="e">
        <f>'LICENCIAS Y PRODUCTOS 2025-03'!#REF!</f>
        <v>#REF!</v>
      </c>
      <c r="X8" s="38" t="e">
        <f>'LICENCIAS Y PRODUCTOS 2025-03'!#REF!</f>
        <v>#REF!</v>
      </c>
      <c r="Y8" s="38" t="e">
        <f>'LICENCIAS Y PRODUCTOS 2025-03'!#REF!</f>
        <v>#REF!</v>
      </c>
      <c r="Z8" s="38" t="e">
        <f>'LICENCIAS Y PRODUCTOS 2025-03'!#REF!</f>
        <v>#REF!</v>
      </c>
      <c r="AA8" s="38" t="e">
        <f>'LICENCIAS Y PRODUCTOS 2025-03'!#REF!</f>
        <v>#REF!</v>
      </c>
      <c r="AB8" s="38" t="e">
        <f>'LICENCIAS Y PRODUCTOS 2025-03'!#REF!</f>
        <v>#REF!</v>
      </c>
      <c r="AC8" s="38" t="e">
        <f>'LICENCIAS Y PRODUCTOS 2025-03'!#REF!</f>
        <v>#REF!</v>
      </c>
      <c r="AD8" s="38" t="e">
        <f>'LICENCIAS Y PRODUCTOS 2025-03'!#REF!</f>
        <v>#REF!</v>
      </c>
      <c r="AE8" s="38" t="e">
        <f>'LICENCIAS Y PRODUCTOS 2025-03'!#REF!</f>
        <v>#REF!</v>
      </c>
      <c r="AF8" s="38" t="e">
        <f>'LICENCIAS Y PRODUCTOS 2025-03'!#REF!</f>
        <v>#REF!</v>
      </c>
      <c r="AG8" s="38" t="e">
        <f>'LICENCIAS Y PRODUCTOS 2025-03'!#REF!</f>
        <v>#REF!</v>
      </c>
      <c r="AH8" s="38" t="e">
        <f>'LICENCIAS Y PRODUCTOS 2025-03'!#REF!</f>
        <v>#REF!</v>
      </c>
      <c r="AI8" s="38"/>
      <c r="AJ8" s="87" t="e">
        <f>SUM(E8:AI8)</f>
        <v>#REF!</v>
      </c>
      <c r="AL8" s="75" t="e">
        <f t="shared" si="1"/>
        <v>#REF!</v>
      </c>
    </row>
    <row r="9" spans="2:38" ht="16.5" thickTop="1" thickBot="1">
      <c r="B9" s="21" t="s">
        <v>3</v>
      </c>
      <c r="C9" s="2" t="s">
        <v>119</v>
      </c>
      <c r="D9" s="23" t="s">
        <v>94</v>
      </c>
      <c r="E9" s="38" t="e">
        <f>'LICENCIAS Y PRODUCTOS 2025-03'!#REF!</f>
        <v>#REF!</v>
      </c>
      <c r="F9" s="38" t="e">
        <f>'LICENCIAS Y PRODUCTOS 2025-03'!#REF!</f>
        <v>#REF!</v>
      </c>
      <c r="G9" s="38" t="e">
        <f>'LICENCIAS Y PRODUCTOS 2025-03'!#REF!</f>
        <v>#REF!</v>
      </c>
      <c r="H9" s="38" t="e">
        <f>'LICENCIAS Y PRODUCTOS 2025-03'!#REF!</f>
        <v>#REF!</v>
      </c>
      <c r="I9" s="38" t="e">
        <f>'LICENCIAS Y PRODUCTOS 2025-03'!#REF!</f>
        <v>#REF!</v>
      </c>
      <c r="J9" s="38" t="e">
        <f>'LICENCIAS Y PRODUCTOS 2025-03'!#REF!</f>
        <v>#REF!</v>
      </c>
      <c r="K9" s="38" t="e">
        <f>'LICENCIAS Y PRODUCTOS 2025-03'!#REF!</f>
        <v>#REF!</v>
      </c>
      <c r="L9" s="38" t="e">
        <f>'LICENCIAS Y PRODUCTOS 2025-03'!#REF!</f>
        <v>#REF!</v>
      </c>
      <c r="M9" s="38" t="e">
        <f>'LICENCIAS Y PRODUCTOS 2025-03'!#REF!</f>
        <v>#REF!</v>
      </c>
      <c r="N9" s="38">
        <f>'LICENCIAS Y PRODUCTOS 2025-03'!D7</f>
        <v>7</v>
      </c>
      <c r="O9" s="38" t="e">
        <f>'LICENCIAS Y PRODUCTOS 2025-03'!#REF!</f>
        <v>#REF!</v>
      </c>
      <c r="P9" s="38" t="e">
        <f>'LICENCIAS Y PRODUCTOS 2025-03'!#REF!</f>
        <v>#REF!</v>
      </c>
      <c r="Q9" s="38" t="e">
        <f>'LICENCIAS Y PRODUCTOS 2025-03'!#REF!</f>
        <v>#REF!</v>
      </c>
      <c r="R9" s="38" t="e">
        <f>'LICENCIAS Y PRODUCTOS 2025-03'!#REF!</f>
        <v>#REF!</v>
      </c>
      <c r="S9" s="38" t="e">
        <f>'LICENCIAS Y PRODUCTOS 2025-03'!#REF!</f>
        <v>#REF!</v>
      </c>
      <c r="T9" s="38" t="e">
        <f>'LICENCIAS Y PRODUCTOS 2025-03'!#REF!</f>
        <v>#REF!</v>
      </c>
      <c r="U9" s="38" t="e">
        <f>'LICENCIAS Y PRODUCTOS 2025-03'!#REF!</f>
        <v>#REF!</v>
      </c>
      <c r="V9" s="38" t="e">
        <f>'LICENCIAS Y PRODUCTOS 2025-03'!#REF!</f>
        <v>#REF!</v>
      </c>
      <c r="W9" s="38" t="e">
        <f>'LICENCIAS Y PRODUCTOS 2025-03'!#REF!</f>
        <v>#REF!</v>
      </c>
      <c r="X9" s="38" t="e">
        <f>'LICENCIAS Y PRODUCTOS 2025-03'!#REF!</f>
        <v>#REF!</v>
      </c>
      <c r="Y9" s="38" t="e">
        <f>'LICENCIAS Y PRODUCTOS 2025-03'!#REF!</f>
        <v>#REF!</v>
      </c>
      <c r="Z9" s="38" t="e">
        <f>'LICENCIAS Y PRODUCTOS 2025-03'!#REF!</f>
        <v>#REF!</v>
      </c>
      <c r="AA9" s="38" t="e">
        <f>'LICENCIAS Y PRODUCTOS 2025-03'!#REF!</f>
        <v>#REF!</v>
      </c>
      <c r="AB9" s="38" t="e">
        <f>'LICENCIAS Y PRODUCTOS 2025-03'!#REF!</f>
        <v>#REF!</v>
      </c>
      <c r="AC9" s="38" t="e">
        <f>'LICENCIAS Y PRODUCTOS 2025-03'!#REF!</f>
        <v>#REF!</v>
      </c>
      <c r="AD9" s="38" t="e">
        <f>'LICENCIAS Y PRODUCTOS 2025-03'!#REF!</f>
        <v>#REF!</v>
      </c>
      <c r="AE9" s="38" t="e">
        <f>'LICENCIAS Y PRODUCTOS 2025-03'!#REF!</f>
        <v>#REF!</v>
      </c>
      <c r="AF9" s="38" t="e">
        <f>'LICENCIAS Y PRODUCTOS 2025-03'!#REF!</f>
        <v>#REF!</v>
      </c>
      <c r="AG9" s="38" t="e">
        <f>'LICENCIAS Y PRODUCTOS 2025-03'!#REF!</f>
        <v>#REF!</v>
      </c>
      <c r="AH9" s="38" t="e">
        <f>'LICENCIAS Y PRODUCTOS 2025-03'!#REF!</f>
        <v>#REF!</v>
      </c>
      <c r="AI9" s="38"/>
      <c r="AJ9" s="87" t="e">
        <f t="shared" si="0"/>
        <v>#REF!</v>
      </c>
      <c r="AL9" s="75" t="e">
        <f t="shared" si="1"/>
        <v>#REF!</v>
      </c>
    </row>
    <row r="10" spans="2:38" ht="16.5" thickTop="1" thickBot="1">
      <c r="B10" s="21" t="s">
        <v>3</v>
      </c>
      <c r="C10" s="2" t="s">
        <v>125</v>
      </c>
      <c r="D10" s="23" t="s">
        <v>95</v>
      </c>
      <c r="E10" s="38" t="e">
        <f>'LICENCIAS Y PRODUCTOS 2025-03'!#REF!</f>
        <v>#REF!</v>
      </c>
      <c r="F10" s="38" t="e">
        <f>'LICENCIAS Y PRODUCTOS 2025-03'!#REF!</f>
        <v>#REF!</v>
      </c>
      <c r="G10" s="38" t="e">
        <f>'LICENCIAS Y PRODUCTOS 2025-03'!#REF!</f>
        <v>#REF!</v>
      </c>
      <c r="H10" s="38" t="e">
        <f>'LICENCIAS Y PRODUCTOS 2025-03'!#REF!</f>
        <v>#REF!</v>
      </c>
      <c r="I10" s="38" t="e">
        <f>'LICENCIAS Y PRODUCTOS 2025-03'!#REF!</f>
        <v>#REF!</v>
      </c>
      <c r="J10" s="38" t="e">
        <f>'LICENCIAS Y PRODUCTOS 2025-03'!#REF!</f>
        <v>#REF!</v>
      </c>
      <c r="K10" s="38" t="e">
        <f>'LICENCIAS Y PRODUCTOS 2025-03'!#REF!</f>
        <v>#REF!</v>
      </c>
      <c r="L10" s="38" t="e">
        <f>'LICENCIAS Y PRODUCTOS 2025-03'!#REF!</f>
        <v>#REF!</v>
      </c>
      <c r="M10" s="38" t="e">
        <f>'LICENCIAS Y PRODUCTOS 2025-03'!#REF!</f>
        <v>#REF!</v>
      </c>
      <c r="N10" s="38">
        <f>'LICENCIAS Y PRODUCTOS 2025-03'!D8</f>
        <v>0</v>
      </c>
      <c r="O10" s="38" t="e">
        <f>'LICENCIAS Y PRODUCTOS 2025-03'!#REF!</f>
        <v>#REF!</v>
      </c>
      <c r="P10" s="38" t="e">
        <f>'LICENCIAS Y PRODUCTOS 2025-03'!#REF!</f>
        <v>#REF!</v>
      </c>
      <c r="Q10" s="38" t="e">
        <f>'LICENCIAS Y PRODUCTOS 2025-03'!#REF!</f>
        <v>#REF!</v>
      </c>
      <c r="R10" s="38" t="e">
        <f>'LICENCIAS Y PRODUCTOS 2025-03'!#REF!</f>
        <v>#REF!</v>
      </c>
      <c r="S10" s="38" t="e">
        <f>'LICENCIAS Y PRODUCTOS 2025-03'!#REF!</f>
        <v>#REF!</v>
      </c>
      <c r="T10" s="38" t="e">
        <f>'LICENCIAS Y PRODUCTOS 2025-03'!#REF!</f>
        <v>#REF!</v>
      </c>
      <c r="U10" s="38" t="e">
        <f>'LICENCIAS Y PRODUCTOS 2025-03'!#REF!</f>
        <v>#REF!</v>
      </c>
      <c r="V10" s="38" t="e">
        <f>'LICENCIAS Y PRODUCTOS 2025-03'!#REF!</f>
        <v>#REF!</v>
      </c>
      <c r="W10" s="38" t="e">
        <f>'LICENCIAS Y PRODUCTOS 2025-03'!#REF!</f>
        <v>#REF!</v>
      </c>
      <c r="X10" s="38" t="e">
        <f>'LICENCIAS Y PRODUCTOS 2025-03'!#REF!</f>
        <v>#REF!</v>
      </c>
      <c r="Y10" s="38" t="e">
        <f>'LICENCIAS Y PRODUCTOS 2025-03'!#REF!</f>
        <v>#REF!</v>
      </c>
      <c r="Z10" s="38" t="e">
        <f>'LICENCIAS Y PRODUCTOS 2025-03'!#REF!</f>
        <v>#REF!</v>
      </c>
      <c r="AA10" s="38" t="e">
        <f>'LICENCIAS Y PRODUCTOS 2025-03'!#REF!</f>
        <v>#REF!</v>
      </c>
      <c r="AB10" s="38" t="e">
        <f>'LICENCIAS Y PRODUCTOS 2025-03'!#REF!</f>
        <v>#REF!</v>
      </c>
      <c r="AC10" s="38" t="e">
        <f>'LICENCIAS Y PRODUCTOS 2025-03'!#REF!</f>
        <v>#REF!</v>
      </c>
      <c r="AD10" s="38" t="e">
        <f>'LICENCIAS Y PRODUCTOS 2025-03'!#REF!</f>
        <v>#REF!</v>
      </c>
      <c r="AE10" s="38" t="e">
        <f>'LICENCIAS Y PRODUCTOS 2025-03'!#REF!</f>
        <v>#REF!</v>
      </c>
      <c r="AF10" s="38" t="e">
        <f>'LICENCIAS Y PRODUCTOS 2025-03'!#REF!</f>
        <v>#REF!</v>
      </c>
      <c r="AG10" s="38" t="e">
        <f>'LICENCIAS Y PRODUCTOS 2025-03'!#REF!</f>
        <v>#REF!</v>
      </c>
      <c r="AH10" s="38" t="e">
        <f>'LICENCIAS Y PRODUCTOS 2025-03'!#REF!</f>
        <v>#REF!</v>
      </c>
      <c r="AI10" s="38"/>
      <c r="AJ10" s="87" t="e">
        <f t="shared" si="0"/>
        <v>#REF!</v>
      </c>
      <c r="AL10" s="75" t="e">
        <f t="shared" si="1"/>
        <v>#REF!</v>
      </c>
    </row>
    <row r="11" spans="2:38" ht="16.5" thickTop="1" thickBot="1">
      <c r="B11" s="21" t="s">
        <v>3</v>
      </c>
      <c r="C11" s="2" t="s">
        <v>126</v>
      </c>
      <c r="D11" s="23" t="s">
        <v>96</v>
      </c>
      <c r="E11" s="38" t="e">
        <f>'LICENCIAS Y PRODUCTOS 2025-03'!#REF!</f>
        <v>#REF!</v>
      </c>
      <c r="F11" s="38" t="e">
        <f>'LICENCIAS Y PRODUCTOS 2025-03'!#REF!</f>
        <v>#REF!</v>
      </c>
      <c r="G11" s="38" t="e">
        <f>'LICENCIAS Y PRODUCTOS 2025-03'!#REF!</f>
        <v>#REF!</v>
      </c>
      <c r="H11" s="38" t="e">
        <f>'LICENCIAS Y PRODUCTOS 2025-03'!#REF!</f>
        <v>#REF!</v>
      </c>
      <c r="I11" s="38" t="e">
        <f>'LICENCIAS Y PRODUCTOS 2025-03'!#REF!</f>
        <v>#REF!</v>
      </c>
      <c r="J11" s="38" t="e">
        <f>'LICENCIAS Y PRODUCTOS 2025-03'!#REF!</f>
        <v>#REF!</v>
      </c>
      <c r="K11" s="38" t="e">
        <f>'LICENCIAS Y PRODUCTOS 2025-03'!#REF!</f>
        <v>#REF!</v>
      </c>
      <c r="L11" s="38" t="e">
        <f>'LICENCIAS Y PRODUCTOS 2025-03'!#REF!</f>
        <v>#REF!</v>
      </c>
      <c r="M11" s="38" t="e">
        <f>'LICENCIAS Y PRODUCTOS 2025-03'!#REF!</f>
        <v>#REF!</v>
      </c>
      <c r="N11" s="38">
        <f>'LICENCIAS Y PRODUCTOS 2025-03'!D9</f>
        <v>0</v>
      </c>
      <c r="O11" s="38" t="e">
        <f>'LICENCIAS Y PRODUCTOS 2025-03'!#REF!</f>
        <v>#REF!</v>
      </c>
      <c r="P11" s="38" t="e">
        <f>'LICENCIAS Y PRODUCTOS 2025-03'!#REF!</f>
        <v>#REF!</v>
      </c>
      <c r="Q11" s="38" t="e">
        <f>'LICENCIAS Y PRODUCTOS 2025-03'!#REF!</f>
        <v>#REF!</v>
      </c>
      <c r="R11" s="38" t="e">
        <f>'LICENCIAS Y PRODUCTOS 2025-03'!#REF!</f>
        <v>#REF!</v>
      </c>
      <c r="S11" s="38" t="e">
        <f>'LICENCIAS Y PRODUCTOS 2025-03'!#REF!</f>
        <v>#REF!</v>
      </c>
      <c r="T11" s="38" t="e">
        <f>'LICENCIAS Y PRODUCTOS 2025-03'!#REF!</f>
        <v>#REF!</v>
      </c>
      <c r="U11" s="38" t="e">
        <f>'LICENCIAS Y PRODUCTOS 2025-03'!#REF!</f>
        <v>#REF!</v>
      </c>
      <c r="V11" s="38" t="e">
        <f>'LICENCIAS Y PRODUCTOS 2025-03'!#REF!</f>
        <v>#REF!</v>
      </c>
      <c r="W11" s="38" t="e">
        <f>'LICENCIAS Y PRODUCTOS 2025-03'!#REF!</f>
        <v>#REF!</v>
      </c>
      <c r="X11" s="38" t="e">
        <f>'LICENCIAS Y PRODUCTOS 2025-03'!#REF!</f>
        <v>#REF!</v>
      </c>
      <c r="Y11" s="38" t="e">
        <f>'LICENCIAS Y PRODUCTOS 2025-03'!#REF!</f>
        <v>#REF!</v>
      </c>
      <c r="Z11" s="38" t="e">
        <f>'LICENCIAS Y PRODUCTOS 2025-03'!#REF!</f>
        <v>#REF!</v>
      </c>
      <c r="AA11" s="38" t="e">
        <f>'LICENCIAS Y PRODUCTOS 2025-03'!#REF!</f>
        <v>#REF!</v>
      </c>
      <c r="AB11" s="38" t="e">
        <f>'LICENCIAS Y PRODUCTOS 2025-03'!#REF!</f>
        <v>#REF!</v>
      </c>
      <c r="AC11" s="38" t="e">
        <f>'LICENCIAS Y PRODUCTOS 2025-03'!#REF!</f>
        <v>#REF!</v>
      </c>
      <c r="AD11" s="38" t="e">
        <f>'LICENCIAS Y PRODUCTOS 2025-03'!#REF!</f>
        <v>#REF!</v>
      </c>
      <c r="AE11" s="38" t="e">
        <f>'LICENCIAS Y PRODUCTOS 2025-03'!#REF!</f>
        <v>#REF!</v>
      </c>
      <c r="AF11" s="38" t="e">
        <f>'LICENCIAS Y PRODUCTOS 2025-03'!#REF!</f>
        <v>#REF!</v>
      </c>
      <c r="AG11" s="38" t="e">
        <f>'LICENCIAS Y PRODUCTOS 2025-03'!#REF!</f>
        <v>#REF!</v>
      </c>
      <c r="AH11" s="38" t="e">
        <f>'LICENCIAS Y PRODUCTOS 2025-03'!#REF!</f>
        <v>#REF!</v>
      </c>
      <c r="AI11" s="38"/>
      <c r="AJ11" s="87" t="e">
        <f t="shared" si="0"/>
        <v>#REF!</v>
      </c>
      <c r="AL11" s="75" t="e">
        <f t="shared" si="1"/>
        <v>#REF!</v>
      </c>
    </row>
    <row r="12" spans="2:38" ht="16.5" thickTop="1" thickBot="1">
      <c r="B12" s="21" t="s">
        <v>3</v>
      </c>
      <c r="C12" s="2" t="s">
        <v>6</v>
      </c>
      <c r="D12" s="23" t="s">
        <v>97</v>
      </c>
      <c r="E12" s="38" t="e">
        <f>'LICENCIAS Y PRODUCTOS 2025-03'!#REF!</f>
        <v>#REF!</v>
      </c>
      <c r="F12" s="38" t="e">
        <f>'LICENCIAS Y PRODUCTOS 2025-03'!#REF!</f>
        <v>#REF!</v>
      </c>
      <c r="G12" s="38" t="e">
        <f>'LICENCIAS Y PRODUCTOS 2025-03'!#REF!</f>
        <v>#REF!</v>
      </c>
      <c r="H12" s="38" t="e">
        <f>'LICENCIAS Y PRODUCTOS 2025-03'!#REF!</f>
        <v>#REF!</v>
      </c>
      <c r="I12" s="38" t="e">
        <f>'LICENCIAS Y PRODUCTOS 2025-03'!#REF!</f>
        <v>#REF!</v>
      </c>
      <c r="J12" s="38" t="e">
        <f>'LICENCIAS Y PRODUCTOS 2025-03'!#REF!</f>
        <v>#REF!</v>
      </c>
      <c r="K12" s="38" t="e">
        <f>'LICENCIAS Y PRODUCTOS 2025-03'!#REF!</f>
        <v>#REF!</v>
      </c>
      <c r="L12" s="38" t="e">
        <f>'LICENCIAS Y PRODUCTOS 2025-03'!#REF!</f>
        <v>#REF!</v>
      </c>
      <c r="M12" s="38" t="e">
        <f>'LICENCIAS Y PRODUCTOS 2025-03'!#REF!</f>
        <v>#REF!</v>
      </c>
      <c r="N12" s="38">
        <f>'LICENCIAS Y PRODUCTOS 2025-03'!D10</f>
        <v>5</v>
      </c>
      <c r="O12" s="38" t="e">
        <f>'LICENCIAS Y PRODUCTOS 2025-03'!#REF!</f>
        <v>#REF!</v>
      </c>
      <c r="P12" s="38" t="e">
        <f>'LICENCIAS Y PRODUCTOS 2025-03'!#REF!</f>
        <v>#REF!</v>
      </c>
      <c r="Q12" s="38" t="e">
        <f>'LICENCIAS Y PRODUCTOS 2025-03'!#REF!</f>
        <v>#REF!</v>
      </c>
      <c r="R12" s="38" t="e">
        <f>'LICENCIAS Y PRODUCTOS 2025-03'!#REF!</f>
        <v>#REF!</v>
      </c>
      <c r="S12" s="38" t="e">
        <f>'LICENCIAS Y PRODUCTOS 2025-03'!#REF!</f>
        <v>#REF!</v>
      </c>
      <c r="T12" s="38" t="e">
        <f>'LICENCIAS Y PRODUCTOS 2025-03'!#REF!</f>
        <v>#REF!</v>
      </c>
      <c r="U12" s="38" t="e">
        <f>'LICENCIAS Y PRODUCTOS 2025-03'!#REF!</f>
        <v>#REF!</v>
      </c>
      <c r="V12" s="38" t="e">
        <f>'LICENCIAS Y PRODUCTOS 2025-03'!#REF!</f>
        <v>#REF!</v>
      </c>
      <c r="W12" s="38" t="e">
        <f>'LICENCIAS Y PRODUCTOS 2025-03'!#REF!</f>
        <v>#REF!</v>
      </c>
      <c r="X12" s="38" t="e">
        <f>'LICENCIAS Y PRODUCTOS 2025-03'!#REF!</f>
        <v>#REF!</v>
      </c>
      <c r="Y12" s="38" t="e">
        <f>'LICENCIAS Y PRODUCTOS 2025-03'!#REF!</f>
        <v>#REF!</v>
      </c>
      <c r="Z12" s="38" t="e">
        <f>'LICENCIAS Y PRODUCTOS 2025-03'!#REF!</f>
        <v>#REF!</v>
      </c>
      <c r="AA12" s="38" t="e">
        <f>'LICENCIAS Y PRODUCTOS 2025-03'!#REF!</f>
        <v>#REF!</v>
      </c>
      <c r="AB12" s="38" t="e">
        <f>'LICENCIAS Y PRODUCTOS 2025-03'!#REF!</f>
        <v>#REF!</v>
      </c>
      <c r="AC12" s="38" t="e">
        <f>'LICENCIAS Y PRODUCTOS 2025-03'!#REF!</f>
        <v>#REF!</v>
      </c>
      <c r="AD12" s="38" t="e">
        <f>'LICENCIAS Y PRODUCTOS 2025-03'!#REF!</f>
        <v>#REF!</v>
      </c>
      <c r="AE12" s="38" t="e">
        <f>'LICENCIAS Y PRODUCTOS 2025-03'!#REF!</f>
        <v>#REF!</v>
      </c>
      <c r="AF12" s="38" t="e">
        <f>'LICENCIAS Y PRODUCTOS 2025-03'!#REF!</f>
        <v>#REF!</v>
      </c>
      <c r="AG12" s="38" t="e">
        <f>'LICENCIAS Y PRODUCTOS 2025-03'!#REF!</f>
        <v>#REF!</v>
      </c>
      <c r="AH12" s="38" t="e">
        <f>'LICENCIAS Y PRODUCTOS 2025-03'!#REF!</f>
        <v>#REF!</v>
      </c>
      <c r="AI12" s="38"/>
      <c r="AJ12" s="87" t="e">
        <f t="shared" si="0"/>
        <v>#REF!</v>
      </c>
      <c r="AL12" s="75" t="e">
        <f t="shared" si="1"/>
        <v>#REF!</v>
      </c>
    </row>
    <row r="13" spans="2:38" ht="16.5" thickTop="1" thickBot="1">
      <c r="B13" s="21" t="s">
        <v>3</v>
      </c>
      <c r="C13" s="2" t="s">
        <v>7</v>
      </c>
      <c r="D13" s="23" t="s">
        <v>98</v>
      </c>
      <c r="E13" s="38" t="e">
        <f>'LICENCIAS Y PRODUCTOS 2025-03'!#REF!</f>
        <v>#REF!</v>
      </c>
      <c r="F13" s="38" t="e">
        <f>'LICENCIAS Y PRODUCTOS 2025-03'!#REF!</f>
        <v>#REF!</v>
      </c>
      <c r="G13" s="38" t="e">
        <f>'LICENCIAS Y PRODUCTOS 2025-03'!#REF!</f>
        <v>#REF!</v>
      </c>
      <c r="H13" s="38" t="e">
        <f>'LICENCIAS Y PRODUCTOS 2025-03'!#REF!</f>
        <v>#REF!</v>
      </c>
      <c r="I13" s="38" t="e">
        <f>'LICENCIAS Y PRODUCTOS 2025-03'!#REF!</f>
        <v>#REF!</v>
      </c>
      <c r="J13" s="38" t="e">
        <f>'LICENCIAS Y PRODUCTOS 2025-03'!#REF!</f>
        <v>#REF!</v>
      </c>
      <c r="K13" s="38" t="e">
        <f>'LICENCIAS Y PRODUCTOS 2025-03'!#REF!</f>
        <v>#REF!</v>
      </c>
      <c r="L13" s="38" t="e">
        <f>'LICENCIAS Y PRODUCTOS 2025-03'!#REF!</f>
        <v>#REF!</v>
      </c>
      <c r="M13" s="38" t="e">
        <f>'LICENCIAS Y PRODUCTOS 2025-03'!#REF!</f>
        <v>#REF!</v>
      </c>
      <c r="N13" s="38">
        <f>'LICENCIAS Y PRODUCTOS 2025-03'!D11</f>
        <v>1</v>
      </c>
      <c r="O13" s="38" t="e">
        <f>'LICENCIAS Y PRODUCTOS 2025-03'!#REF!</f>
        <v>#REF!</v>
      </c>
      <c r="P13" s="38" t="e">
        <f>'LICENCIAS Y PRODUCTOS 2025-03'!#REF!</f>
        <v>#REF!</v>
      </c>
      <c r="Q13" s="38" t="e">
        <f>'LICENCIAS Y PRODUCTOS 2025-03'!#REF!</f>
        <v>#REF!</v>
      </c>
      <c r="R13" s="38" t="e">
        <f>'LICENCIAS Y PRODUCTOS 2025-03'!#REF!</f>
        <v>#REF!</v>
      </c>
      <c r="S13" s="38" t="e">
        <f>'LICENCIAS Y PRODUCTOS 2025-03'!#REF!</f>
        <v>#REF!</v>
      </c>
      <c r="T13" s="38" t="e">
        <f>'LICENCIAS Y PRODUCTOS 2025-03'!#REF!</f>
        <v>#REF!</v>
      </c>
      <c r="U13" s="38" t="e">
        <f>'LICENCIAS Y PRODUCTOS 2025-03'!#REF!</f>
        <v>#REF!</v>
      </c>
      <c r="V13" s="38" t="e">
        <f>'LICENCIAS Y PRODUCTOS 2025-03'!#REF!</f>
        <v>#REF!</v>
      </c>
      <c r="W13" s="38" t="e">
        <f>'LICENCIAS Y PRODUCTOS 2025-03'!#REF!</f>
        <v>#REF!</v>
      </c>
      <c r="X13" s="38" t="e">
        <f>'LICENCIAS Y PRODUCTOS 2025-03'!#REF!</f>
        <v>#REF!</v>
      </c>
      <c r="Y13" s="38" t="e">
        <f>'LICENCIAS Y PRODUCTOS 2025-03'!#REF!</f>
        <v>#REF!</v>
      </c>
      <c r="Z13" s="38" t="e">
        <f>'LICENCIAS Y PRODUCTOS 2025-03'!#REF!</f>
        <v>#REF!</v>
      </c>
      <c r="AA13" s="38" t="e">
        <f>'LICENCIAS Y PRODUCTOS 2025-03'!#REF!</f>
        <v>#REF!</v>
      </c>
      <c r="AB13" s="38" t="e">
        <f>'LICENCIAS Y PRODUCTOS 2025-03'!#REF!</f>
        <v>#REF!</v>
      </c>
      <c r="AC13" s="38" t="e">
        <f>'LICENCIAS Y PRODUCTOS 2025-03'!#REF!</f>
        <v>#REF!</v>
      </c>
      <c r="AD13" s="38" t="e">
        <f>'LICENCIAS Y PRODUCTOS 2025-03'!#REF!</f>
        <v>#REF!</v>
      </c>
      <c r="AE13" s="38" t="e">
        <f>'LICENCIAS Y PRODUCTOS 2025-03'!#REF!</f>
        <v>#REF!</v>
      </c>
      <c r="AF13" s="38" t="e">
        <f>'LICENCIAS Y PRODUCTOS 2025-03'!#REF!</f>
        <v>#REF!</v>
      </c>
      <c r="AG13" s="38" t="e">
        <f>'LICENCIAS Y PRODUCTOS 2025-03'!#REF!</f>
        <v>#REF!</v>
      </c>
      <c r="AH13" s="38" t="e">
        <f>'LICENCIAS Y PRODUCTOS 2025-03'!#REF!</f>
        <v>#REF!</v>
      </c>
      <c r="AI13" s="38"/>
      <c r="AJ13" s="87" t="e">
        <f t="shared" si="0"/>
        <v>#REF!</v>
      </c>
      <c r="AL13" s="75" t="e">
        <f t="shared" si="1"/>
        <v>#REF!</v>
      </c>
    </row>
    <row r="14" spans="2:38" ht="16.5" thickTop="1" thickBot="1">
      <c r="B14" s="21" t="s">
        <v>3</v>
      </c>
      <c r="C14" s="2" t="s">
        <v>8</v>
      </c>
      <c r="D14" s="23" t="s">
        <v>99</v>
      </c>
      <c r="E14" s="38" t="e">
        <f>'LICENCIAS Y PRODUCTOS 2025-03'!#REF!</f>
        <v>#REF!</v>
      </c>
      <c r="F14" s="38" t="e">
        <f>'LICENCIAS Y PRODUCTOS 2025-03'!#REF!</f>
        <v>#REF!</v>
      </c>
      <c r="G14" s="38" t="e">
        <f>'LICENCIAS Y PRODUCTOS 2025-03'!#REF!</f>
        <v>#REF!</v>
      </c>
      <c r="H14" s="38" t="e">
        <f>'LICENCIAS Y PRODUCTOS 2025-03'!#REF!</f>
        <v>#REF!</v>
      </c>
      <c r="I14" s="38" t="e">
        <f>'LICENCIAS Y PRODUCTOS 2025-03'!#REF!</f>
        <v>#REF!</v>
      </c>
      <c r="J14" s="38" t="e">
        <f>'LICENCIAS Y PRODUCTOS 2025-03'!#REF!</f>
        <v>#REF!</v>
      </c>
      <c r="K14" s="38" t="e">
        <f>'LICENCIAS Y PRODUCTOS 2025-03'!#REF!</f>
        <v>#REF!</v>
      </c>
      <c r="L14" s="38" t="e">
        <f>'LICENCIAS Y PRODUCTOS 2025-03'!#REF!</f>
        <v>#REF!</v>
      </c>
      <c r="M14" s="38" t="e">
        <f>'LICENCIAS Y PRODUCTOS 2025-03'!#REF!</f>
        <v>#REF!</v>
      </c>
      <c r="N14" s="38">
        <f>'LICENCIAS Y PRODUCTOS 2025-03'!D12</f>
        <v>1</v>
      </c>
      <c r="O14" s="38" t="e">
        <f>'LICENCIAS Y PRODUCTOS 2025-03'!#REF!</f>
        <v>#REF!</v>
      </c>
      <c r="P14" s="38" t="e">
        <f>'LICENCIAS Y PRODUCTOS 2025-03'!#REF!</f>
        <v>#REF!</v>
      </c>
      <c r="Q14" s="38" t="e">
        <f>'LICENCIAS Y PRODUCTOS 2025-03'!#REF!</f>
        <v>#REF!</v>
      </c>
      <c r="R14" s="38" t="e">
        <f>'LICENCIAS Y PRODUCTOS 2025-03'!#REF!</f>
        <v>#REF!</v>
      </c>
      <c r="S14" s="38" t="e">
        <f>'LICENCIAS Y PRODUCTOS 2025-03'!#REF!</f>
        <v>#REF!</v>
      </c>
      <c r="T14" s="38" t="e">
        <f>'LICENCIAS Y PRODUCTOS 2025-03'!#REF!</f>
        <v>#REF!</v>
      </c>
      <c r="U14" s="38" t="e">
        <f>'LICENCIAS Y PRODUCTOS 2025-03'!#REF!</f>
        <v>#REF!</v>
      </c>
      <c r="V14" s="38" t="e">
        <f>'LICENCIAS Y PRODUCTOS 2025-03'!#REF!</f>
        <v>#REF!</v>
      </c>
      <c r="W14" s="38" t="e">
        <f>'LICENCIAS Y PRODUCTOS 2025-03'!#REF!</f>
        <v>#REF!</v>
      </c>
      <c r="X14" s="38" t="e">
        <f>'LICENCIAS Y PRODUCTOS 2025-03'!#REF!</f>
        <v>#REF!</v>
      </c>
      <c r="Y14" s="38" t="e">
        <f>'LICENCIAS Y PRODUCTOS 2025-03'!#REF!</f>
        <v>#REF!</v>
      </c>
      <c r="Z14" s="38" t="e">
        <f>'LICENCIAS Y PRODUCTOS 2025-03'!#REF!</f>
        <v>#REF!</v>
      </c>
      <c r="AA14" s="38" t="e">
        <f>'LICENCIAS Y PRODUCTOS 2025-03'!#REF!</f>
        <v>#REF!</v>
      </c>
      <c r="AB14" s="38" t="e">
        <f>'LICENCIAS Y PRODUCTOS 2025-03'!#REF!</f>
        <v>#REF!</v>
      </c>
      <c r="AC14" s="38" t="e">
        <f>'LICENCIAS Y PRODUCTOS 2025-03'!#REF!</f>
        <v>#REF!</v>
      </c>
      <c r="AD14" s="38" t="e">
        <f>'LICENCIAS Y PRODUCTOS 2025-03'!#REF!</f>
        <v>#REF!</v>
      </c>
      <c r="AE14" s="38" t="e">
        <f>'LICENCIAS Y PRODUCTOS 2025-03'!#REF!</f>
        <v>#REF!</v>
      </c>
      <c r="AF14" s="38" t="e">
        <f>'LICENCIAS Y PRODUCTOS 2025-03'!#REF!</f>
        <v>#REF!</v>
      </c>
      <c r="AG14" s="38" t="e">
        <f>'LICENCIAS Y PRODUCTOS 2025-03'!#REF!</f>
        <v>#REF!</v>
      </c>
      <c r="AH14" s="38" t="e">
        <f>'LICENCIAS Y PRODUCTOS 2025-03'!#REF!</f>
        <v>#REF!</v>
      </c>
      <c r="AI14" s="38"/>
      <c r="AJ14" s="87" t="e">
        <f t="shared" si="0"/>
        <v>#REF!</v>
      </c>
      <c r="AL14" s="75" t="e">
        <f t="shared" si="1"/>
        <v>#REF!</v>
      </c>
    </row>
    <row r="15" spans="2:38" ht="16.5" thickTop="1" thickBot="1">
      <c r="B15" s="21" t="s">
        <v>3</v>
      </c>
      <c r="C15" s="2" t="s">
        <v>123</v>
      </c>
      <c r="D15" s="25" t="s">
        <v>116</v>
      </c>
      <c r="E15" s="38" t="e">
        <f>'LICENCIAS Y PRODUCTOS 2025-03'!#REF!</f>
        <v>#REF!</v>
      </c>
      <c r="F15" s="38" t="e">
        <f>'LICENCIAS Y PRODUCTOS 2025-03'!#REF!</f>
        <v>#REF!</v>
      </c>
      <c r="G15" s="38" t="e">
        <f>'LICENCIAS Y PRODUCTOS 2025-03'!#REF!</f>
        <v>#REF!</v>
      </c>
      <c r="H15" s="38" t="e">
        <f>'LICENCIAS Y PRODUCTOS 2025-03'!#REF!</f>
        <v>#REF!</v>
      </c>
      <c r="I15" s="38" t="e">
        <f>'LICENCIAS Y PRODUCTOS 2025-03'!#REF!</f>
        <v>#REF!</v>
      </c>
      <c r="J15" s="38" t="e">
        <f>'LICENCIAS Y PRODUCTOS 2025-03'!#REF!</f>
        <v>#REF!</v>
      </c>
      <c r="K15" s="38" t="e">
        <f>'LICENCIAS Y PRODUCTOS 2025-03'!#REF!</f>
        <v>#REF!</v>
      </c>
      <c r="L15" s="38" t="e">
        <f>'LICENCIAS Y PRODUCTOS 2025-03'!#REF!</f>
        <v>#REF!</v>
      </c>
      <c r="M15" s="38" t="e">
        <f>'LICENCIAS Y PRODUCTOS 2025-03'!#REF!</f>
        <v>#REF!</v>
      </c>
      <c r="N15" s="38">
        <f>'LICENCIAS Y PRODUCTOS 2025-03'!D13</f>
        <v>0</v>
      </c>
      <c r="O15" s="38" t="e">
        <f>'LICENCIAS Y PRODUCTOS 2025-03'!#REF!</f>
        <v>#REF!</v>
      </c>
      <c r="P15" s="38" t="e">
        <f>'LICENCIAS Y PRODUCTOS 2025-03'!#REF!</f>
        <v>#REF!</v>
      </c>
      <c r="Q15" s="38" t="e">
        <f>'LICENCIAS Y PRODUCTOS 2025-03'!#REF!</f>
        <v>#REF!</v>
      </c>
      <c r="R15" s="38" t="e">
        <f>'LICENCIAS Y PRODUCTOS 2025-03'!#REF!</f>
        <v>#REF!</v>
      </c>
      <c r="S15" s="38" t="e">
        <f>'LICENCIAS Y PRODUCTOS 2025-03'!#REF!</f>
        <v>#REF!</v>
      </c>
      <c r="T15" s="38" t="e">
        <f>'LICENCIAS Y PRODUCTOS 2025-03'!#REF!</f>
        <v>#REF!</v>
      </c>
      <c r="U15" s="38" t="e">
        <f>'LICENCIAS Y PRODUCTOS 2025-03'!#REF!</f>
        <v>#REF!</v>
      </c>
      <c r="V15" s="38" t="e">
        <f>'LICENCIAS Y PRODUCTOS 2025-03'!#REF!</f>
        <v>#REF!</v>
      </c>
      <c r="W15" s="38" t="e">
        <f>'LICENCIAS Y PRODUCTOS 2025-03'!#REF!</f>
        <v>#REF!</v>
      </c>
      <c r="X15" s="38" t="e">
        <f>'LICENCIAS Y PRODUCTOS 2025-03'!#REF!</f>
        <v>#REF!</v>
      </c>
      <c r="Y15" s="38" t="e">
        <f>'LICENCIAS Y PRODUCTOS 2025-03'!#REF!</f>
        <v>#REF!</v>
      </c>
      <c r="Z15" s="38" t="e">
        <f>'LICENCIAS Y PRODUCTOS 2025-03'!#REF!</f>
        <v>#REF!</v>
      </c>
      <c r="AA15" s="38" t="e">
        <f>'LICENCIAS Y PRODUCTOS 2025-03'!#REF!</f>
        <v>#REF!</v>
      </c>
      <c r="AB15" s="38" t="e">
        <f>'LICENCIAS Y PRODUCTOS 2025-03'!#REF!</f>
        <v>#REF!</v>
      </c>
      <c r="AC15" s="38" t="e">
        <f>'LICENCIAS Y PRODUCTOS 2025-03'!#REF!</f>
        <v>#REF!</v>
      </c>
      <c r="AD15" s="38" t="e">
        <f>'LICENCIAS Y PRODUCTOS 2025-03'!#REF!</f>
        <v>#REF!</v>
      </c>
      <c r="AE15" s="38" t="e">
        <f>'LICENCIAS Y PRODUCTOS 2025-03'!#REF!</f>
        <v>#REF!</v>
      </c>
      <c r="AF15" s="38" t="e">
        <f>'LICENCIAS Y PRODUCTOS 2025-03'!#REF!</f>
        <v>#REF!</v>
      </c>
      <c r="AG15" s="38" t="e">
        <f>'LICENCIAS Y PRODUCTOS 2025-03'!#REF!</f>
        <v>#REF!</v>
      </c>
      <c r="AH15" s="38" t="e">
        <f>'LICENCIAS Y PRODUCTOS 2025-03'!#REF!</f>
        <v>#REF!</v>
      </c>
      <c r="AI15" s="38"/>
      <c r="AJ15" s="87" t="e">
        <f t="shared" si="0"/>
        <v>#REF!</v>
      </c>
      <c r="AL15" s="75" t="e">
        <f t="shared" si="1"/>
        <v>#REF!</v>
      </c>
    </row>
    <row r="16" spans="2:38" ht="16.5" thickTop="1" thickBot="1">
      <c r="B16" s="21" t="s">
        <v>9</v>
      </c>
      <c r="C16" s="2" t="s">
        <v>10</v>
      </c>
      <c r="D16" s="23" t="s">
        <v>100</v>
      </c>
      <c r="E16" s="38" t="e">
        <f>'LICENCIAS Y PRODUCTOS 2025-03'!#REF!</f>
        <v>#REF!</v>
      </c>
      <c r="F16" s="38" t="e">
        <f>'LICENCIAS Y PRODUCTOS 2025-03'!#REF!</f>
        <v>#REF!</v>
      </c>
      <c r="G16" s="38" t="e">
        <f>'LICENCIAS Y PRODUCTOS 2025-03'!#REF!</f>
        <v>#REF!</v>
      </c>
      <c r="H16" s="38" t="e">
        <f>'LICENCIAS Y PRODUCTOS 2025-03'!#REF!</f>
        <v>#REF!</v>
      </c>
      <c r="I16" s="38" t="e">
        <f>'LICENCIAS Y PRODUCTOS 2025-03'!#REF!</f>
        <v>#REF!</v>
      </c>
      <c r="J16" s="38" t="e">
        <f>'LICENCIAS Y PRODUCTOS 2025-03'!#REF!</f>
        <v>#REF!</v>
      </c>
      <c r="K16" s="38" t="e">
        <f>'LICENCIAS Y PRODUCTOS 2025-03'!#REF!</f>
        <v>#REF!</v>
      </c>
      <c r="L16" s="38" t="e">
        <f>'LICENCIAS Y PRODUCTOS 2025-03'!#REF!</f>
        <v>#REF!</v>
      </c>
      <c r="M16" s="38" t="e">
        <f>'LICENCIAS Y PRODUCTOS 2025-03'!#REF!</f>
        <v>#REF!</v>
      </c>
      <c r="N16" s="38">
        <f>'LICENCIAS Y PRODUCTOS 2025-03'!D14</f>
        <v>0</v>
      </c>
      <c r="O16" s="38" t="e">
        <f>'LICENCIAS Y PRODUCTOS 2025-03'!#REF!</f>
        <v>#REF!</v>
      </c>
      <c r="P16" s="38" t="e">
        <f>'LICENCIAS Y PRODUCTOS 2025-03'!#REF!</f>
        <v>#REF!</v>
      </c>
      <c r="Q16" s="38" t="e">
        <f>'LICENCIAS Y PRODUCTOS 2025-03'!#REF!</f>
        <v>#REF!</v>
      </c>
      <c r="R16" s="38" t="e">
        <f>'LICENCIAS Y PRODUCTOS 2025-03'!#REF!</f>
        <v>#REF!</v>
      </c>
      <c r="S16" s="38" t="e">
        <f>'LICENCIAS Y PRODUCTOS 2025-03'!#REF!</f>
        <v>#REF!</v>
      </c>
      <c r="T16" s="38" t="e">
        <f>'LICENCIAS Y PRODUCTOS 2025-03'!#REF!</f>
        <v>#REF!</v>
      </c>
      <c r="U16" s="38" t="e">
        <f>'LICENCIAS Y PRODUCTOS 2025-03'!#REF!</f>
        <v>#REF!</v>
      </c>
      <c r="V16" s="38" t="e">
        <f>'LICENCIAS Y PRODUCTOS 2025-03'!#REF!</f>
        <v>#REF!</v>
      </c>
      <c r="W16" s="38" t="e">
        <f>'LICENCIAS Y PRODUCTOS 2025-03'!#REF!</f>
        <v>#REF!</v>
      </c>
      <c r="X16" s="38" t="e">
        <f>'LICENCIAS Y PRODUCTOS 2025-03'!#REF!</f>
        <v>#REF!</v>
      </c>
      <c r="Y16" s="38" t="e">
        <f>'LICENCIAS Y PRODUCTOS 2025-03'!#REF!</f>
        <v>#REF!</v>
      </c>
      <c r="Z16" s="38" t="e">
        <f>'LICENCIAS Y PRODUCTOS 2025-03'!#REF!</f>
        <v>#REF!</v>
      </c>
      <c r="AA16" s="38" t="e">
        <f>'LICENCIAS Y PRODUCTOS 2025-03'!#REF!</f>
        <v>#REF!</v>
      </c>
      <c r="AB16" s="38" t="e">
        <f>'LICENCIAS Y PRODUCTOS 2025-03'!#REF!</f>
        <v>#REF!</v>
      </c>
      <c r="AC16" s="38" t="e">
        <f>'LICENCIAS Y PRODUCTOS 2025-03'!#REF!</f>
        <v>#REF!</v>
      </c>
      <c r="AD16" s="38" t="e">
        <f>'LICENCIAS Y PRODUCTOS 2025-03'!#REF!</f>
        <v>#REF!</v>
      </c>
      <c r="AE16" s="38" t="e">
        <f>'LICENCIAS Y PRODUCTOS 2025-03'!#REF!</f>
        <v>#REF!</v>
      </c>
      <c r="AF16" s="38" t="e">
        <f>'LICENCIAS Y PRODUCTOS 2025-03'!#REF!</f>
        <v>#REF!</v>
      </c>
      <c r="AG16" s="38" t="e">
        <f>'LICENCIAS Y PRODUCTOS 2025-03'!#REF!</f>
        <v>#REF!</v>
      </c>
      <c r="AH16" s="38" t="e">
        <f>'LICENCIAS Y PRODUCTOS 2025-03'!#REF!</f>
        <v>#REF!</v>
      </c>
      <c r="AI16" s="38"/>
      <c r="AJ16" s="87" t="e">
        <f t="shared" si="0"/>
        <v>#REF!</v>
      </c>
      <c r="AL16" s="75" t="e">
        <f t="shared" si="1"/>
        <v>#REF!</v>
      </c>
    </row>
    <row r="17" spans="2:38" ht="16.5" thickTop="1" thickBot="1">
      <c r="B17" s="21" t="s">
        <v>9</v>
      </c>
      <c r="C17" s="2" t="s">
        <v>11</v>
      </c>
      <c r="D17" s="23" t="s">
        <v>101</v>
      </c>
      <c r="E17" s="38" t="e">
        <f>'LICENCIAS Y PRODUCTOS 2025-03'!#REF!</f>
        <v>#REF!</v>
      </c>
      <c r="F17" s="38" t="e">
        <f>'LICENCIAS Y PRODUCTOS 2025-03'!#REF!</f>
        <v>#REF!</v>
      </c>
      <c r="G17" s="38" t="e">
        <f>'LICENCIAS Y PRODUCTOS 2025-03'!#REF!</f>
        <v>#REF!</v>
      </c>
      <c r="H17" s="38" t="e">
        <f>'LICENCIAS Y PRODUCTOS 2025-03'!#REF!</f>
        <v>#REF!</v>
      </c>
      <c r="I17" s="38" t="e">
        <f>'LICENCIAS Y PRODUCTOS 2025-03'!#REF!</f>
        <v>#REF!</v>
      </c>
      <c r="J17" s="38" t="e">
        <f>'LICENCIAS Y PRODUCTOS 2025-03'!#REF!</f>
        <v>#REF!</v>
      </c>
      <c r="K17" s="38" t="e">
        <f>'LICENCIAS Y PRODUCTOS 2025-03'!#REF!</f>
        <v>#REF!</v>
      </c>
      <c r="L17" s="38" t="e">
        <f>'LICENCIAS Y PRODUCTOS 2025-03'!#REF!</f>
        <v>#REF!</v>
      </c>
      <c r="M17" s="38" t="e">
        <f>'LICENCIAS Y PRODUCTOS 2025-03'!#REF!</f>
        <v>#REF!</v>
      </c>
      <c r="N17" s="38">
        <f>'LICENCIAS Y PRODUCTOS 2025-03'!D15</f>
        <v>0</v>
      </c>
      <c r="O17" s="38" t="e">
        <f>'LICENCIAS Y PRODUCTOS 2025-03'!#REF!</f>
        <v>#REF!</v>
      </c>
      <c r="P17" s="38" t="e">
        <f>'LICENCIAS Y PRODUCTOS 2025-03'!#REF!</f>
        <v>#REF!</v>
      </c>
      <c r="Q17" s="38" t="e">
        <f>'LICENCIAS Y PRODUCTOS 2025-03'!#REF!</f>
        <v>#REF!</v>
      </c>
      <c r="R17" s="38" t="e">
        <f>'LICENCIAS Y PRODUCTOS 2025-03'!#REF!</f>
        <v>#REF!</v>
      </c>
      <c r="S17" s="38" t="e">
        <f>'LICENCIAS Y PRODUCTOS 2025-03'!#REF!</f>
        <v>#REF!</v>
      </c>
      <c r="T17" s="38" t="e">
        <f>'LICENCIAS Y PRODUCTOS 2025-03'!#REF!</f>
        <v>#REF!</v>
      </c>
      <c r="U17" s="38" t="e">
        <f>'LICENCIAS Y PRODUCTOS 2025-03'!#REF!</f>
        <v>#REF!</v>
      </c>
      <c r="V17" s="38" t="e">
        <f>'LICENCIAS Y PRODUCTOS 2025-03'!#REF!</f>
        <v>#REF!</v>
      </c>
      <c r="W17" s="38" t="e">
        <f>'LICENCIAS Y PRODUCTOS 2025-03'!#REF!</f>
        <v>#REF!</v>
      </c>
      <c r="X17" s="38" t="e">
        <f>'LICENCIAS Y PRODUCTOS 2025-03'!#REF!</f>
        <v>#REF!</v>
      </c>
      <c r="Y17" s="38" t="e">
        <f>'LICENCIAS Y PRODUCTOS 2025-03'!#REF!</f>
        <v>#REF!</v>
      </c>
      <c r="Z17" s="38" t="e">
        <f>'LICENCIAS Y PRODUCTOS 2025-03'!#REF!</f>
        <v>#REF!</v>
      </c>
      <c r="AA17" s="38" t="e">
        <f>'LICENCIAS Y PRODUCTOS 2025-03'!#REF!</f>
        <v>#REF!</v>
      </c>
      <c r="AB17" s="38" t="e">
        <f>'LICENCIAS Y PRODUCTOS 2025-03'!#REF!</f>
        <v>#REF!</v>
      </c>
      <c r="AC17" s="38" t="e">
        <f>'LICENCIAS Y PRODUCTOS 2025-03'!#REF!</f>
        <v>#REF!</v>
      </c>
      <c r="AD17" s="38" t="e">
        <f>'LICENCIAS Y PRODUCTOS 2025-03'!#REF!</f>
        <v>#REF!</v>
      </c>
      <c r="AE17" s="38" t="e">
        <f>'LICENCIAS Y PRODUCTOS 2025-03'!#REF!</f>
        <v>#REF!</v>
      </c>
      <c r="AF17" s="38" t="e">
        <f>'LICENCIAS Y PRODUCTOS 2025-03'!#REF!</f>
        <v>#REF!</v>
      </c>
      <c r="AG17" s="38" t="e">
        <f>'LICENCIAS Y PRODUCTOS 2025-03'!#REF!</f>
        <v>#REF!</v>
      </c>
      <c r="AH17" s="38" t="e">
        <f>'LICENCIAS Y PRODUCTOS 2025-03'!#REF!</f>
        <v>#REF!</v>
      </c>
      <c r="AI17" s="38"/>
      <c r="AJ17" s="87" t="e">
        <f>SUM(E17:AI17)</f>
        <v>#REF!</v>
      </c>
      <c r="AL17" s="75" t="e">
        <f t="shared" si="1"/>
        <v>#REF!</v>
      </c>
    </row>
    <row r="18" spans="2:38" ht="16.5" thickTop="1" thickBot="1">
      <c r="B18" s="21" t="s">
        <v>12</v>
      </c>
      <c r="C18" s="2" t="s">
        <v>13</v>
      </c>
      <c r="D18" s="23" t="s">
        <v>102</v>
      </c>
      <c r="E18" s="38" t="e">
        <f>'LICENCIAS Y PRODUCTOS 2025-03'!#REF!</f>
        <v>#REF!</v>
      </c>
      <c r="F18" s="38" t="e">
        <f>'LICENCIAS Y PRODUCTOS 2025-03'!#REF!</f>
        <v>#REF!</v>
      </c>
      <c r="G18" s="38" t="e">
        <f>'LICENCIAS Y PRODUCTOS 2025-03'!#REF!</f>
        <v>#REF!</v>
      </c>
      <c r="H18" s="38" t="e">
        <f>'LICENCIAS Y PRODUCTOS 2025-03'!#REF!</f>
        <v>#REF!</v>
      </c>
      <c r="I18" s="38" t="e">
        <f>'LICENCIAS Y PRODUCTOS 2025-03'!#REF!</f>
        <v>#REF!</v>
      </c>
      <c r="J18" s="38" t="e">
        <f>'LICENCIAS Y PRODUCTOS 2025-03'!#REF!</f>
        <v>#REF!</v>
      </c>
      <c r="K18" s="38" t="e">
        <f>'LICENCIAS Y PRODUCTOS 2025-03'!#REF!</f>
        <v>#REF!</v>
      </c>
      <c r="L18" s="38" t="e">
        <f>'LICENCIAS Y PRODUCTOS 2025-03'!#REF!</f>
        <v>#REF!</v>
      </c>
      <c r="M18" s="38" t="e">
        <f>'LICENCIAS Y PRODUCTOS 2025-03'!#REF!</f>
        <v>#REF!</v>
      </c>
      <c r="N18" s="38">
        <f>'LICENCIAS Y PRODUCTOS 2025-03'!D16</f>
        <v>4</v>
      </c>
      <c r="O18" s="38" t="e">
        <f>'LICENCIAS Y PRODUCTOS 2025-03'!#REF!</f>
        <v>#REF!</v>
      </c>
      <c r="P18" s="38" t="e">
        <f>'LICENCIAS Y PRODUCTOS 2025-03'!#REF!</f>
        <v>#REF!</v>
      </c>
      <c r="Q18" s="38" t="e">
        <f>'LICENCIAS Y PRODUCTOS 2025-03'!#REF!</f>
        <v>#REF!</v>
      </c>
      <c r="R18" s="38" t="e">
        <f>'LICENCIAS Y PRODUCTOS 2025-03'!#REF!</f>
        <v>#REF!</v>
      </c>
      <c r="S18" s="38" t="e">
        <f>'LICENCIAS Y PRODUCTOS 2025-03'!#REF!</f>
        <v>#REF!</v>
      </c>
      <c r="T18" s="38" t="e">
        <f>'LICENCIAS Y PRODUCTOS 2025-03'!#REF!</f>
        <v>#REF!</v>
      </c>
      <c r="U18" s="38" t="e">
        <f>'LICENCIAS Y PRODUCTOS 2025-03'!#REF!</f>
        <v>#REF!</v>
      </c>
      <c r="V18" s="38" t="e">
        <f>'LICENCIAS Y PRODUCTOS 2025-03'!#REF!</f>
        <v>#REF!</v>
      </c>
      <c r="W18" s="38" t="e">
        <f>'LICENCIAS Y PRODUCTOS 2025-03'!#REF!</f>
        <v>#REF!</v>
      </c>
      <c r="X18" s="38" t="e">
        <f>'LICENCIAS Y PRODUCTOS 2025-03'!#REF!</f>
        <v>#REF!</v>
      </c>
      <c r="Y18" s="38" t="e">
        <f>'LICENCIAS Y PRODUCTOS 2025-03'!#REF!</f>
        <v>#REF!</v>
      </c>
      <c r="Z18" s="38" t="e">
        <f>'LICENCIAS Y PRODUCTOS 2025-03'!#REF!</f>
        <v>#REF!</v>
      </c>
      <c r="AA18" s="38" t="e">
        <f>'LICENCIAS Y PRODUCTOS 2025-03'!#REF!</f>
        <v>#REF!</v>
      </c>
      <c r="AB18" s="38" t="e">
        <f>'LICENCIAS Y PRODUCTOS 2025-03'!#REF!</f>
        <v>#REF!</v>
      </c>
      <c r="AC18" s="38" t="e">
        <f>'LICENCIAS Y PRODUCTOS 2025-03'!#REF!</f>
        <v>#REF!</v>
      </c>
      <c r="AD18" s="38" t="e">
        <f>'LICENCIAS Y PRODUCTOS 2025-03'!#REF!</f>
        <v>#REF!</v>
      </c>
      <c r="AE18" s="38" t="e">
        <f>'LICENCIAS Y PRODUCTOS 2025-03'!#REF!</f>
        <v>#REF!</v>
      </c>
      <c r="AF18" s="38" t="e">
        <f>'LICENCIAS Y PRODUCTOS 2025-03'!#REF!</f>
        <v>#REF!</v>
      </c>
      <c r="AG18" s="38" t="e">
        <f>'LICENCIAS Y PRODUCTOS 2025-03'!#REF!</f>
        <v>#REF!</v>
      </c>
      <c r="AH18" s="38" t="e">
        <f>'LICENCIAS Y PRODUCTOS 2025-03'!#REF!</f>
        <v>#REF!</v>
      </c>
      <c r="AI18" s="38"/>
      <c r="AJ18" s="87" t="e">
        <f t="shared" si="0"/>
        <v>#REF!</v>
      </c>
      <c r="AL18" s="75" t="e">
        <f t="shared" si="1"/>
        <v>#REF!</v>
      </c>
    </row>
    <row r="19" spans="2:38" ht="16.5" thickTop="1" thickBot="1">
      <c r="B19" s="21" t="s">
        <v>30</v>
      </c>
      <c r="C19" s="40" t="s">
        <v>130</v>
      </c>
      <c r="D19" s="41" t="s">
        <v>103</v>
      </c>
      <c r="E19" s="38" t="e">
        <f>'LICENCIAS Y PRODUCTOS 2025-03'!#REF!</f>
        <v>#REF!</v>
      </c>
      <c r="F19" s="38" t="e">
        <f>'LICENCIAS Y PRODUCTOS 2025-03'!#REF!</f>
        <v>#REF!</v>
      </c>
      <c r="G19" s="38" t="e">
        <f>'LICENCIAS Y PRODUCTOS 2025-03'!#REF!</f>
        <v>#REF!</v>
      </c>
      <c r="H19" s="38" t="e">
        <f>'LICENCIAS Y PRODUCTOS 2025-03'!#REF!</f>
        <v>#REF!</v>
      </c>
      <c r="I19" s="38" t="e">
        <f>'LICENCIAS Y PRODUCTOS 2025-03'!#REF!</f>
        <v>#REF!</v>
      </c>
      <c r="J19" s="38" t="e">
        <f>'LICENCIAS Y PRODUCTOS 2025-03'!#REF!</f>
        <v>#REF!</v>
      </c>
      <c r="K19" s="38" t="e">
        <f>'LICENCIAS Y PRODUCTOS 2025-03'!#REF!</f>
        <v>#REF!</v>
      </c>
      <c r="L19" s="38" t="e">
        <f>'LICENCIAS Y PRODUCTOS 2025-03'!#REF!</f>
        <v>#REF!</v>
      </c>
      <c r="M19" s="38" t="e">
        <f>'LICENCIAS Y PRODUCTOS 2025-03'!#REF!</f>
        <v>#REF!</v>
      </c>
      <c r="N19" s="38">
        <f>'LICENCIAS Y PRODUCTOS 2025-03'!D17</f>
        <v>0</v>
      </c>
      <c r="O19" s="38" t="e">
        <f>'LICENCIAS Y PRODUCTOS 2025-03'!#REF!</f>
        <v>#REF!</v>
      </c>
      <c r="P19" s="38" t="e">
        <f>'LICENCIAS Y PRODUCTOS 2025-03'!#REF!</f>
        <v>#REF!</v>
      </c>
      <c r="Q19" s="38" t="e">
        <f>'LICENCIAS Y PRODUCTOS 2025-03'!#REF!</f>
        <v>#REF!</v>
      </c>
      <c r="R19" s="38" t="e">
        <f>'LICENCIAS Y PRODUCTOS 2025-03'!#REF!</f>
        <v>#REF!</v>
      </c>
      <c r="S19" s="38" t="e">
        <f>'LICENCIAS Y PRODUCTOS 2025-03'!#REF!</f>
        <v>#REF!</v>
      </c>
      <c r="T19" s="38" t="e">
        <f>'LICENCIAS Y PRODUCTOS 2025-03'!#REF!</f>
        <v>#REF!</v>
      </c>
      <c r="U19" s="38" t="e">
        <f>'LICENCIAS Y PRODUCTOS 2025-03'!#REF!</f>
        <v>#REF!</v>
      </c>
      <c r="V19" s="38" t="e">
        <f>'LICENCIAS Y PRODUCTOS 2025-03'!#REF!</f>
        <v>#REF!</v>
      </c>
      <c r="W19" s="38" t="e">
        <f>'LICENCIAS Y PRODUCTOS 2025-03'!#REF!</f>
        <v>#REF!</v>
      </c>
      <c r="X19" s="38" t="e">
        <f>'LICENCIAS Y PRODUCTOS 2025-03'!#REF!</f>
        <v>#REF!</v>
      </c>
      <c r="Y19" s="38" t="e">
        <f>'LICENCIAS Y PRODUCTOS 2025-03'!#REF!</f>
        <v>#REF!</v>
      </c>
      <c r="Z19" s="38" t="e">
        <f>'LICENCIAS Y PRODUCTOS 2025-03'!#REF!</f>
        <v>#REF!</v>
      </c>
      <c r="AA19" s="38" t="e">
        <f>'LICENCIAS Y PRODUCTOS 2025-03'!#REF!</f>
        <v>#REF!</v>
      </c>
      <c r="AB19" s="38" t="e">
        <f>'LICENCIAS Y PRODUCTOS 2025-03'!#REF!</f>
        <v>#REF!</v>
      </c>
      <c r="AC19" s="38" t="e">
        <f>'LICENCIAS Y PRODUCTOS 2025-03'!#REF!</f>
        <v>#REF!</v>
      </c>
      <c r="AD19" s="38" t="e">
        <f>'LICENCIAS Y PRODUCTOS 2025-03'!#REF!</f>
        <v>#REF!</v>
      </c>
      <c r="AE19" s="38" t="e">
        <f>'LICENCIAS Y PRODUCTOS 2025-03'!#REF!</f>
        <v>#REF!</v>
      </c>
      <c r="AF19" s="38" t="e">
        <f>'LICENCIAS Y PRODUCTOS 2025-03'!#REF!</f>
        <v>#REF!</v>
      </c>
      <c r="AG19" s="38" t="e">
        <f>'LICENCIAS Y PRODUCTOS 2025-03'!#REF!</f>
        <v>#REF!</v>
      </c>
      <c r="AH19" s="38" t="e">
        <f>'LICENCIAS Y PRODUCTOS 2025-03'!#REF!</f>
        <v>#REF!</v>
      </c>
      <c r="AI19" s="38"/>
      <c r="AJ19" s="87" t="e">
        <f t="shared" si="0"/>
        <v>#REF!</v>
      </c>
      <c r="AL19" s="75" t="e">
        <f t="shared" si="1"/>
        <v>#REF!</v>
      </c>
    </row>
    <row r="20" spans="2:38" ht="16.5" thickTop="1" thickBot="1">
      <c r="B20" s="21" t="s">
        <v>29</v>
      </c>
      <c r="C20" s="2" t="s">
        <v>24</v>
      </c>
      <c r="D20" s="2">
        <v>35</v>
      </c>
      <c r="E20" s="38" t="e">
        <f>'LICENCIAS Y PRODUCTOS 2025-03'!#REF!</f>
        <v>#REF!</v>
      </c>
      <c r="F20" s="38" t="e">
        <f>'LICENCIAS Y PRODUCTOS 2025-03'!#REF!</f>
        <v>#REF!</v>
      </c>
      <c r="G20" s="38" t="e">
        <f>'LICENCIAS Y PRODUCTOS 2025-03'!#REF!</f>
        <v>#REF!</v>
      </c>
      <c r="H20" s="38" t="e">
        <f>'LICENCIAS Y PRODUCTOS 2025-03'!#REF!</f>
        <v>#REF!</v>
      </c>
      <c r="I20" s="38" t="e">
        <f>'LICENCIAS Y PRODUCTOS 2025-03'!#REF!</f>
        <v>#REF!</v>
      </c>
      <c r="J20" s="38" t="e">
        <f>'LICENCIAS Y PRODUCTOS 2025-03'!#REF!</f>
        <v>#REF!</v>
      </c>
      <c r="K20" s="38" t="e">
        <f>'LICENCIAS Y PRODUCTOS 2025-03'!#REF!</f>
        <v>#REF!</v>
      </c>
      <c r="L20" s="38" t="e">
        <f>'LICENCIAS Y PRODUCTOS 2025-03'!#REF!</f>
        <v>#REF!</v>
      </c>
      <c r="M20" s="38" t="e">
        <f>'LICENCIAS Y PRODUCTOS 2025-03'!#REF!</f>
        <v>#REF!</v>
      </c>
      <c r="N20" s="38">
        <f>'LICENCIAS Y PRODUCTOS 2025-03'!D18</f>
        <v>0</v>
      </c>
      <c r="O20" s="38" t="e">
        <f>'LICENCIAS Y PRODUCTOS 2025-03'!#REF!</f>
        <v>#REF!</v>
      </c>
      <c r="P20" s="38" t="e">
        <f>'LICENCIAS Y PRODUCTOS 2025-03'!#REF!</f>
        <v>#REF!</v>
      </c>
      <c r="Q20" s="38" t="e">
        <f>'LICENCIAS Y PRODUCTOS 2025-03'!#REF!</f>
        <v>#REF!</v>
      </c>
      <c r="R20" s="38" t="e">
        <f>'LICENCIAS Y PRODUCTOS 2025-03'!#REF!</f>
        <v>#REF!</v>
      </c>
      <c r="S20" s="38" t="e">
        <f>'LICENCIAS Y PRODUCTOS 2025-03'!#REF!</f>
        <v>#REF!</v>
      </c>
      <c r="T20" s="38" t="e">
        <f>'LICENCIAS Y PRODUCTOS 2025-03'!#REF!</f>
        <v>#REF!</v>
      </c>
      <c r="U20" s="38" t="e">
        <f>'LICENCIAS Y PRODUCTOS 2025-03'!#REF!</f>
        <v>#REF!</v>
      </c>
      <c r="V20" s="38" t="e">
        <f>'LICENCIAS Y PRODUCTOS 2025-03'!#REF!</f>
        <v>#REF!</v>
      </c>
      <c r="W20" s="38" t="e">
        <f>'LICENCIAS Y PRODUCTOS 2025-03'!#REF!</f>
        <v>#REF!</v>
      </c>
      <c r="X20" s="38" t="e">
        <f>'LICENCIAS Y PRODUCTOS 2025-03'!#REF!</f>
        <v>#REF!</v>
      </c>
      <c r="Y20" s="38" t="e">
        <f>'LICENCIAS Y PRODUCTOS 2025-03'!#REF!</f>
        <v>#REF!</v>
      </c>
      <c r="Z20" s="38" t="e">
        <f>'LICENCIAS Y PRODUCTOS 2025-03'!#REF!</f>
        <v>#REF!</v>
      </c>
      <c r="AA20" s="38" t="e">
        <f>'LICENCIAS Y PRODUCTOS 2025-03'!#REF!</f>
        <v>#REF!</v>
      </c>
      <c r="AB20" s="38" t="e">
        <f>'LICENCIAS Y PRODUCTOS 2025-03'!#REF!</f>
        <v>#REF!</v>
      </c>
      <c r="AC20" s="38" t="e">
        <f>'LICENCIAS Y PRODUCTOS 2025-03'!#REF!</f>
        <v>#REF!</v>
      </c>
      <c r="AD20" s="38" t="e">
        <f>'LICENCIAS Y PRODUCTOS 2025-03'!#REF!</f>
        <v>#REF!</v>
      </c>
      <c r="AE20" s="38" t="e">
        <f>'LICENCIAS Y PRODUCTOS 2025-03'!#REF!</f>
        <v>#REF!</v>
      </c>
      <c r="AF20" s="38" t="e">
        <f>'LICENCIAS Y PRODUCTOS 2025-03'!#REF!</f>
        <v>#REF!</v>
      </c>
      <c r="AG20" s="38" t="e">
        <f>'LICENCIAS Y PRODUCTOS 2025-03'!#REF!</f>
        <v>#REF!</v>
      </c>
      <c r="AH20" s="38" t="e">
        <f>'LICENCIAS Y PRODUCTOS 2025-03'!#REF!</f>
        <v>#REF!</v>
      </c>
      <c r="AI20" s="38"/>
      <c r="AJ20" s="87" t="e">
        <f t="shared" si="0"/>
        <v>#REF!</v>
      </c>
      <c r="AL20" s="75" t="e">
        <f t="shared" si="1"/>
        <v>#REF!</v>
      </c>
    </row>
    <row r="21" spans="2:38" ht="16.5" thickTop="1" thickBot="1">
      <c r="B21" s="21" t="s">
        <v>29</v>
      </c>
      <c r="C21" s="2" t="s">
        <v>173</v>
      </c>
      <c r="D21" s="77" t="s">
        <v>104</v>
      </c>
      <c r="E21" s="38" t="e">
        <f>'LICENCIAS Y PRODUCTOS 2025-03'!#REF!</f>
        <v>#REF!</v>
      </c>
      <c r="F21" s="38" t="e">
        <f>'LICENCIAS Y PRODUCTOS 2025-03'!#REF!</f>
        <v>#REF!</v>
      </c>
      <c r="G21" s="38" t="e">
        <f>'LICENCIAS Y PRODUCTOS 2025-03'!#REF!</f>
        <v>#REF!</v>
      </c>
      <c r="H21" s="38" t="e">
        <f>'LICENCIAS Y PRODUCTOS 2025-03'!#REF!</f>
        <v>#REF!</v>
      </c>
      <c r="I21" s="38" t="e">
        <f>'LICENCIAS Y PRODUCTOS 2025-03'!#REF!</f>
        <v>#REF!</v>
      </c>
      <c r="J21" s="38" t="e">
        <f>'LICENCIAS Y PRODUCTOS 2025-03'!#REF!</f>
        <v>#REF!</v>
      </c>
      <c r="K21" s="38" t="e">
        <f>'LICENCIAS Y PRODUCTOS 2025-03'!#REF!</f>
        <v>#REF!</v>
      </c>
      <c r="L21" s="38" t="e">
        <f>'LICENCIAS Y PRODUCTOS 2025-03'!#REF!</f>
        <v>#REF!</v>
      </c>
      <c r="M21" s="38" t="e">
        <f>'LICENCIAS Y PRODUCTOS 2025-03'!#REF!</f>
        <v>#REF!</v>
      </c>
      <c r="N21" s="38">
        <f>'LICENCIAS Y PRODUCTOS 2025-03'!D19</f>
        <v>0</v>
      </c>
      <c r="O21" s="38" t="e">
        <f>'LICENCIAS Y PRODUCTOS 2025-03'!#REF!</f>
        <v>#REF!</v>
      </c>
      <c r="P21" s="38" t="e">
        <f>'LICENCIAS Y PRODUCTOS 2025-03'!#REF!</f>
        <v>#REF!</v>
      </c>
      <c r="Q21" s="38" t="e">
        <f>'LICENCIAS Y PRODUCTOS 2025-03'!#REF!</f>
        <v>#REF!</v>
      </c>
      <c r="R21" s="38" t="e">
        <f>'LICENCIAS Y PRODUCTOS 2025-03'!#REF!</f>
        <v>#REF!</v>
      </c>
      <c r="S21" s="38" t="e">
        <f>'LICENCIAS Y PRODUCTOS 2025-03'!#REF!</f>
        <v>#REF!</v>
      </c>
      <c r="T21" s="38" t="e">
        <f>'LICENCIAS Y PRODUCTOS 2025-03'!#REF!</f>
        <v>#REF!</v>
      </c>
      <c r="U21" s="38" t="e">
        <f>'LICENCIAS Y PRODUCTOS 2025-03'!#REF!</f>
        <v>#REF!</v>
      </c>
      <c r="V21" s="38" t="e">
        <f>'LICENCIAS Y PRODUCTOS 2025-03'!#REF!</f>
        <v>#REF!</v>
      </c>
      <c r="W21" s="38" t="e">
        <f>'LICENCIAS Y PRODUCTOS 2025-03'!#REF!</f>
        <v>#REF!</v>
      </c>
      <c r="X21" s="38" t="e">
        <f>'LICENCIAS Y PRODUCTOS 2025-03'!#REF!</f>
        <v>#REF!</v>
      </c>
      <c r="Y21" s="38" t="e">
        <f>'LICENCIAS Y PRODUCTOS 2025-03'!#REF!</f>
        <v>#REF!</v>
      </c>
      <c r="Z21" s="38" t="e">
        <f>'LICENCIAS Y PRODUCTOS 2025-03'!#REF!</f>
        <v>#REF!</v>
      </c>
      <c r="AA21" s="38" t="e">
        <f>'LICENCIAS Y PRODUCTOS 2025-03'!#REF!</f>
        <v>#REF!</v>
      </c>
      <c r="AB21" s="38" t="e">
        <f>'LICENCIAS Y PRODUCTOS 2025-03'!#REF!</f>
        <v>#REF!</v>
      </c>
      <c r="AC21" s="38" t="e">
        <f>'LICENCIAS Y PRODUCTOS 2025-03'!#REF!</f>
        <v>#REF!</v>
      </c>
      <c r="AD21" s="38" t="e">
        <f>'LICENCIAS Y PRODUCTOS 2025-03'!#REF!</f>
        <v>#REF!</v>
      </c>
      <c r="AE21" s="38" t="e">
        <f>'LICENCIAS Y PRODUCTOS 2025-03'!#REF!</f>
        <v>#REF!</v>
      </c>
      <c r="AF21" s="38" t="e">
        <f>'LICENCIAS Y PRODUCTOS 2025-03'!#REF!</f>
        <v>#REF!</v>
      </c>
      <c r="AG21" s="38" t="e">
        <f>'LICENCIAS Y PRODUCTOS 2025-03'!#REF!</f>
        <v>#REF!</v>
      </c>
      <c r="AH21" s="38" t="e">
        <f>'LICENCIAS Y PRODUCTOS 2025-03'!#REF!</f>
        <v>#REF!</v>
      </c>
      <c r="AI21" s="38"/>
      <c r="AJ21" s="87" t="e">
        <f t="shared" si="0"/>
        <v>#REF!</v>
      </c>
      <c r="AL21" s="75" t="e">
        <f t="shared" si="1"/>
        <v>#REF!</v>
      </c>
    </row>
    <row r="22" spans="2:38" ht="15" customHeight="1" thickTop="1" thickBot="1">
      <c r="B22" s="21" t="s">
        <v>16</v>
      </c>
      <c r="C22" s="2" t="s">
        <v>26</v>
      </c>
      <c r="D22" s="23" t="s">
        <v>105</v>
      </c>
      <c r="E22" s="38" t="e">
        <f>'LICENCIAS Y PRODUCTOS 2025-03'!#REF!</f>
        <v>#REF!</v>
      </c>
      <c r="F22" s="38" t="e">
        <f>'LICENCIAS Y PRODUCTOS 2025-03'!#REF!</f>
        <v>#REF!</v>
      </c>
      <c r="G22" s="38" t="e">
        <f>'LICENCIAS Y PRODUCTOS 2025-03'!#REF!</f>
        <v>#REF!</v>
      </c>
      <c r="H22" s="38" t="e">
        <f>'LICENCIAS Y PRODUCTOS 2025-03'!#REF!</f>
        <v>#REF!</v>
      </c>
      <c r="I22" s="38" t="e">
        <f>'LICENCIAS Y PRODUCTOS 2025-03'!#REF!</f>
        <v>#REF!</v>
      </c>
      <c r="J22" s="38" t="e">
        <f>'LICENCIAS Y PRODUCTOS 2025-03'!#REF!</f>
        <v>#REF!</v>
      </c>
      <c r="K22" s="38" t="e">
        <f>'LICENCIAS Y PRODUCTOS 2025-03'!#REF!</f>
        <v>#REF!</v>
      </c>
      <c r="L22" s="38" t="e">
        <f>'LICENCIAS Y PRODUCTOS 2025-03'!#REF!</f>
        <v>#REF!</v>
      </c>
      <c r="M22" s="38" t="e">
        <f>'LICENCIAS Y PRODUCTOS 2025-03'!#REF!</f>
        <v>#REF!</v>
      </c>
      <c r="N22" s="38">
        <f>'LICENCIAS Y PRODUCTOS 2025-03'!D20</f>
        <v>0</v>
      </c>
      <c r="O22" s="38" t="e">
        <f>'LICENCIAS Y PRODUCTOS 2025-03'!#REF!</f>
        <v>#REF!</v>
      </c>
      <c r="P22" s="38" t="e">
        <f>'LICENCIAS Y PRODUCTOS 2025-03'!#REF!</f>
        <v>#REF!</v>
      </c>
      <c r="Q22" s="38" t="e">
        <f>'LICENCIAS Y PRODUCTOS 2025-03'!#REF!</f>
        <v>#REF!</v>
      </c>
      <c r="R22" s="38" t="e">
        <f>'LICENCIAS Y PRODUCTOS 2025-03'!#REF!</f>
        <v>#REF!</v>
      </c>
      <c r="S22" s="38" t="e">
        <f>'LICENCIAS Y PRODUCTOS 2025-03'!#REF!</f>
        <v>#REF!</v>
      </c>
      <c r="T22" s="38" t="e">
        <f>'LICENCIAS Y PRODUCTOS 2025-03'!#REF!</f>
        <v>#REF!</v>
      </c>
      <c r="U22" s="38" t="e">
        <f>'LICENCIAS Y PRODUCTOS 2025-03'!#REF!</f>
        <v>#REF!</v>
      </c>
      <c r="V22" s="38" t="e">
        <f>'LICENCIAS Y PRODUCTOS 2025-03'!#REF!</f>
        <v>#REF!</v>
      </c>
      <c r="W22" s="38" t="e">
        <f>'LICENCIAS Y PRODUCTOS 2025-03'!#REF!</f>
        <v>#REF!</v>
      </c>
      <c r="X22" s="38" t="e">
        <f>'LICENCIAS Y PRODUCTOS 2025-03'!#REF!</f>
        <v>#REF!</v>
      </c>
      <c r="Y22" s="38" t="e">
        <f>'LICENCIAS Y PRODUCTOS 2025-03'!#REF!</f>
        <v>#REF!</v>
      </c>
      <c r="Z22" s="38" t="e">
        <f>'LICENCIAS Y PRODUCTOS 2025-03'!#REF!</f>
        <v>#REF!</v>
      </c>
      <c r="AA22" s="38" t="e">
        <f>'LICENCIAS Y PRODUCTOS 2025-03'!#REF!</f>
        <v>#REF!</v>
      </c>
      <c r="AB22" s="38" t="e">
        <f>'LICENCIAS Y PRODUCTOS 2025-03'!#REF!</f>
        <v>#REF!</v>
      </c>
      <c r="AC22" s="38" t="e">
        <f>'LICENCIAS Y PRODUCTOS 2025-03'!#REF!</f>
        <v>#REF!</v>
      </c>
      <c r="AD22" s="38" t="e">
        <f>'LICENCIAS Y PRODUCTOS 2025-03'!#REF!</f>
        <v>#REF!</v>
      </c>
      <c r="AE22" s="38" t="e">
        <f>'LICENCIAS Y PRODUCTOS 2025-03'!#REF!</f>
        <v>#REF!</v>
      </c>
      <c r="AF22" s="38" t="e">
        <f>'LICENCIAS Y PRODUCTOS 2025-03'!#REF!</f>
        <v>#REF!</v>
      </c>
      <c r="AG22" s="38" t="e">
        <f>'LICENCIAS Y PRODUCTOS 2025-03'!#REF!</f>
        <v>#REF!</v>
      </c>
      <c r="AH22" s="38" t="e">
        <f>'LICENCIAS Y PRODUCTOS 2025-03'!#REF!</f>
        <v>#REF!</v>
      </c>
      <c r="AI22" s="38"/>
      <c r="AJ22" s="87" t="e">
        <f t="shared" si="0"/>
        <v>#REF!</v>
      </c>
      <c r="AL22" s="75" t="e">
        <f t="shared" si="1"/>
        <v>#REF!</v>
      </c>
    </row>
    <row r="23" spans="2:38" ht="25.5" thickTop="1" thickBot="1">
      <c r="B23" s="21" t="s">
        <v>16</v>
      </c>
      <c r="C23" s="2" t="s">
        <v>25</v>
      </c>
      <c r="D23" s="23" t="s">
        <v>106</v>
      </c>
      <c r="E23" s="38" t="e">
        <f>'LICENCIAS Y PRODUCTOS 2025-03'!#REF!</f>
        <v>#REF!</v>
      </c>
      <c r="F23" s="38" t="e">
        <f>'LICENCIAS Y PRODUCTOS 2025-03'!#REF!</f>
        <v>#REF!</v>
      </c>
      <c r="G23" s="38" t="e">
        <f>'LICENCIAS Y PRODUCTOS 2025-03'!#REF!</f>
        <v>#REF!</v>
      </c>
      <c r="H23" s="38" t="e">
        <f>'LICENCIAS Y PRODUCTOS 2025-03'!#REF!</f>
        <v>#REF!</v>
      </c>
      <c r="I23" s="38" t="e">
        <f>'LICENCIAS Y PRODUCTOS 2025-03'!#REF!</f>
        <v>#REF!</v>
      </c>
      <c r="J23" s="38" t="e">
        <f>'LICENCIAS Y PRODUCTOS 2025-03'!#REF!</f>
        <v>#REF!</v>
      </c>
      <c r="K23" s="38" t="e">
        <f>'LICENCIAS Y PRODUCTOS 2025-03'!#REF!</f>
        <v>#REF!</v>
      </c>
      <c r="L23" s="38" t="e">
        <f>'LICENCIAS Y PRODUCTOS 2025-03'!#REF!</f>
        <v>#REF!</v>
      </c>
      <c r="M23" s="38" t="e">
        <f>'LICENCIAS Y PRODUCTOS 2025-03'!#REF!</f>
        <v>#REF!</v>
      </c>
      <c r="N23" s="38">
        <f>'LICENCIAS Y PRODUCTOS 2025-03'!D21</f>
        <v>0</v>
      </c>
      <c r="O23" s="38" t="e">
        <f>'LICENCIAS Y PRODUCTOS 2025-03'!#REF!</f>
        <v>#REF!</v>
      </c>
      <c r="P23" s="38" t="e">
        <f>'LICENCIAS Y PRODUCTOS 2025-03'!#REF!</f>
        <v>#REF!</v>
      </c>
      <c r="Q23" s="38" t="e">
        <f>'LICENCIAS Y PRODUCTOS 2025-03'!#REF!</f>
        <v>#REF!</v>
      </c>
      <c r="R23" s="38" t="e">
        <f>'LICENCIAS Y PRODUCTOS 2025-03'!#REF!</f>
        <v>#REF!</v>
      </c>
      <c r="S23" s="38" t="e">
        <f>'LICENCIAS Y PRODUCTOS 2025-03'!#REF!</f>
        <v>#REF!</v>
      </c>
      <c r="T23" s="38" t="e">
        <f>'LICENCIAS Y PRODUCTOS 2025-03'!#REF!</f>
        <v>#REF!</v>
      </c>
      <c r="U23" s="38" t="e">
        <f>'LICENCIAS Y PRODUCTOS 2025-03'!#REF!</f>
        <v>#REF!</v>
      </c>
      <c r="V23" s="38" t="e">
        <f>'LICENCIAS Y PRODUCTOS 2025-03'!#REF!</f>
        <v>#REF!</v>
      </c>
      <c r="W23" s="38" t="e">
        <f>'LICENCIAS Y PRODUCTOS 2025-03'!#REF!</f>
        <v>#REF!</v>
      </c>
      <c r="X23" s="38" t="e">
        <f>'LICENCIAS Y PRODUCTOS 2025-03'!#REF!</f>
        <v>#REF!</v>
      </c>
      <c r="Y23" s="38" t="e">
        <f>'LICENCIAS Y PRODUCTOS 2025-03'!#REF!</f>
        <v>#REF!</v>
      </c>
      <c r="Z23" s="38" t="e">
        <f>'LICENCIAS Y PRODUCTOS 2025-03'!#REF!</f>
        <v>#REF!</v>
      </c>
      <c r="AA23" s="38" t="e">
        <f>'LICENCIAS Y PRODUCTOS 2025-03'!#REF!</f>
        <v>#REF!</v>
      </c>
      <c r="AB23" s="38" t="e">
        <f>'LICENCIAS Y PRODUCTOS 2025-03'!#REF!</f>
        <v>#REF!</v>
      </c>
      <c r="AC23" s="38" t="e">
        <f>'LICENCIAS Y PRODUCTOS 2025-03'!#REF!</f>
        <v>#REF!</v>
      </c>
      <c r="AD23" s="38" t="e">
        <f>'LICENCIAS Y PRODUCTOS 2025-03'!#REF!</f>
        <v>#REF!</v>
      </c>
      <c r="AE23" s="38" t="e">
        <f>'LICENCIAS Y PRODUCTOS 2025-03'!#REF!</f>
        <v>#REF!</v>
      </c>
      <c r="AF23" s="38" t="e">
        <f>'LICENCIAS Y PRODUCTOS 2025-03'!#REF!</f>
        <v>#REF!</v>
      </c>
      <c r="AG23" s="38" t="e">
        <f>'LICENCIAS Y PRODUCTOS 2025-03'!#REF!</f>
        <v>#REF!</v>
      </c>
      <c r="AH23" s="38" t="e">
        <f>'LICENCIAS Y PRODUCTOS 2025-03'!#REF!</f>
        <v>#REF!</v>
      </c>
      <c r="AI23" s="38"/>
      <c r="AJ23" s="87" t="e">
        <f t="shared" si="0"/>
        <v>#REF!</v>
      </c>
      <c r="AL23" s="75" t="e">
        <f t="shared" si="1"/>
        <v>#REF!</v>
      </c>
    </row>
    <row r="24" spans="2:38" ht="16.5" thickTop="1" thickBot="1">
      <c r="B24" s="21" t="s">
        <v>17</v>
      </c>
      <c r="C24" s="2" t="s">
        <v>181</v>
      </c>
      <c r="D24" s="23" t="s">
        <v>107</v>
      </c>
      <c r="E24" s="38" t="e">
        <f>'LICENCIAS Y PRODUCTOS 2025-03'!#REF!</f>
        <v>#REF!</v>
      </c>
      <c r="F24" s="38" t="e">
        <f>'LICENCIAS Y PRODUCTOS 2025-03'!#REF!</f>
        <v>#REF!</v>
      </c>
      <c r="G24" s="38" t="e">
        <f>'LICENCIAS Y PRODUCTOS 2025-03'!#REF!</f>
        <v>#REF!</v>
      </c>
      <c r="H24" s="38" t="e">
        <f>'LICENCIAS Y PRODUCTOS 2025-03'!#REF!</f>
        <v>#REF!</v>
      </c>
      <c r="I24" s="38" t="e">
        <f>'LICENCIAS Y PRODUCTOS 2025-03'!#REF!</f>
        <v>#REF!</v>
      </c>
      <c r="J24" s="38" t="e">
        <f>'LICENCIAS Y PRODUCTOS 2025-03'!#REF!</f>
        <v>#REF!</v>
      </c>
      <c r="K24" s="38" t="e">
        <f>'LICENCIAS Y PRODUCTOS 2025-03'!#REF!</f>
        <v>#REF!</v>
      </c>
      <c r="L24" s="38" t="e">
        <f>'LICENCIAS Y PRODUCTOS 2025-03'!#REF!</f>
        <v>#REF!</v>
      </c>
      <c r="M24" s="38" t="e">
        <f>'LICENCIAS Y PRODUCTOS 2025-03'!#REF!</f>
        <v>#REF!</v>
      </c>
      <c r="N24" s="38">
        <f>'LICENCIAS Y PRODUCTOS 2025-03'!D22</f>
        <v>0</v>
      </c>
      <c r="O24" s="38" t="e">
        <f>'LICENCIAS Y PRODUCTOS 2025-03'!#REF!</f>
        <v>#REF!</v>
      </c>
      <c r="P24" s="38" t="e">
        <f>'LICENCIAS Y PRODUCTOS 2025-03'!#REF!</f>
        <v>#REF!</v>
      </c>
      <c r="Q24" s="38" t="e">
        <f>'LICENCIAS Y PRODUCTOS 2025-03'!#REF!</f>
        <v>#REF!</v>
      </c>
      <c r="R24" s="38" t="e">
        <f>'LICENCIAS Y PRODUCTOS 2025-03'!#REF!</f>
        <v>#REF!</v>
      </c>
      <c r="S24" s="38" t="e">
        <f>'LICENCIAS Y PRODUCTOS 2025-03'!#REF!</f>
        <v>#REF!</v>
      </c>
      <c r="T24" s="38" t="e">
        <f>'LICENCIAS Y PRODUCTOS 2025-03'!#REF!</f>
        <v>#REF!</v>
      </c>
      <c r="U24" s="38" t="e">
        <f>'LICENCIAS Y PRODUCTOS 2025-03'!#REF!</f>
        <v>#REF!</v>
      </c>
      <c r="V24" s="38" t="e">
        <f>'LICENCIAS Y PRODUCTOS 2025-03'!#REF!</f>
        <v>#REF!</v>
      </c>
      <c r="W24" s="38" t="e">
        <f>'LICENCIAS Y PRODUCTOS 2025-03'!#REF!</f>
        <v>#REF!</v>
      </c>
      <c r="X24" s="38" t="e">
        <f>'LICENCIAS Y PRODUCTOS 2025-03'!#REF!</f>
        <v>#REF!</v>
      </c>
      <c r="Y24" s="38" t="e">
        <f>'LICENCIAS Y PRODUCTOS 2025-03'!#REF!</f>
        <v>#REF!</v>
      </c>
      <c r="Z24" s="38" t="e">
        <f>'LICENCIAS Y PRODUCTOS 2025-03'!#REF!</f>
        <v>#REF!</v>
      </c>
      <c r="AA24" s="38" t="e">
        <f>'LICENCIAS Y PRODUCTOS 2025-03'!#REF!</f>
        <v>#REF!</v>
      </c>
      <c r="AB24" s="38" t="e">
        <f>'LICENCIAS Y PRODUCTOS 2025-03'!#REF!</f>
        <v>#REF!</v>
      </c>
      <c r="AC24" s="38" t="e">
        <f>'LICENCIAS Y PRODUCTOS 2025-03'!#REF!</f>
        <v>#REF!</v>
      </c>
      <c r="AD24" s="38" t="e">
        <f>'LICENCIAS Y PRODUCTOS 2025-03'!#REF!</f>
        <v>#REF!</v>
      </c>
      <c r="AE24" s="38" t="e">
        <f>'LICENCIAS Y PRODUCTOS 2025-03'!#REF!</f>
        <v>#REF!</v>
      </c>
      <c r="AF24" s="38" t="e">
        <f>'LICENCIAS Y PRODUCTOS 2025-03'!#REF!</f>
        <v>#REF!</v>
      </c>
      <c r="AG24" s="38" t="e">
        <f>'LICENCIAS Y PRODUCTOS 2025-03'!#REF!</f>
        <v>#REF!</v>
      </c>
      <c r="AH24" s="38" t="e">
        <f>'LICENCIAS Y PRODUCTOS 2025-03'!#REF!</f>
        <v>#REF!</v>
      </c>
      <c r="AI24" s="38"/>
      <c r="AJ24" s="87" t="e">
        <f t="shared" si="0"/>
        <v>#REF!</v>
      </c>
      <c r="AL24" s="75" t="e">
        <f t="shared" si="1"/>
        <v>#REF!</v>
      </c>
    </row>
    <row r="25" spans="2:38" ht="16.5" thickTop="1" thickBot="1">
      <c r="B25" s="21" t="s">
        <v>19</v>
      </c>
      <c r="C25" s="2" t="s">
        <v>20</v>
      </c>
      <c r="D25" s="23" t="s">
        <v>108</v>
      </c>
      <c r="E25" s="38" t="e">
        <f>'LICENCIAS Y PRODUCTOS 2025-03'!#REF!</f>
        <v>#REF!</v>
      </c>
      <c r="F25" s="38" t="e">
        <f>'LICENCIAS Y PRODUCTOS 2025-03'!#REF!</f>
        <v>#REF!</v>
      </c>
      <c r="G25" s="38" t="e">
        <f>'LICENCIAS Y PRODUCTOS 2025-03'!#REF!</f>
        <v>#REF!</v>
      </c>
      <c r="H25" s="38" t="e">
        <f>'LICENCIAS Y PRODUCTOS 2025-03'!#REF!</f>
        <v>#REF!</v>
      </c>
      <c r="I25" s="38" t="e">
        <f>'LICENCIAS Y PRODUCTOS 2025-03'!#REF!</f>
        <v>#REF!</v>
      </c>
      <c r="J25" s="38" t="e">
        <f>'LICENCIAS Y PRODUCTOS 2025-03'!#REF!</f>
        <v>#REF!</v>
      </c>
      <c r="K25" s="38" t="e">
        <f>'LICENCIAS Y PRODUCTOS 2025-03'!#REF!</f>
        <v>#REF!</v>
      </c>
      <c r="L25" s="38" t="e">
        <f>'LICENCIAS Y PRODUCTOS 2025-03'!#REF!</f>
        <v>#REF!</v>
      </c>
      <c r="M25" s="38" t="e">
        <f>'LICENCIAS Y PRODUCTOS 2025-03'!#REF!</f>
        <v>#REF!</v>
      </c>
      <c r="N25" s="38">
        <f>'LICENCIAS Y PRODUCTOS 2025-03'!D23</f>
        <v>0</v>
      </c>
      <c r="O25" s="38" t="e">
        <f>'LICENCIAS Y PRODUCTOS 2025-03'!#REF!</f>
        <v>#REF!</v>
      </c>
      <c r="P25" s="38" t="e">
        <f>'LICENCIAS Y PRODUCTOS 2025-03'!#REF!</f>
        <v>#REF!</v>
      </c>
      <c r="Q25" s="38" t="e">
        <f>'LICENCIAS Y PRODUCTOS 2025-03'!#REF!</f>
        <v>#REF!</v>
      </c>
      <c r="R25" s="38" t="e">
        <f>'LICENCIAS Y PRODUCTOS 2025-03'!#REF!</f>
        <v>#REF!</v>
      </c>
      <c r="S25" s="38" t="e">
        <f>'LICENCIAS Y PRODUCTOS 2025-03'!#REF!</f>
        <v>#REF!</v>
      </c>
      <c r="T25" s="38" t="e">
        <f>'LICENCIAS Y PRODUCTOS 2025-03'!#REF!</f>
        <v>#REF!</v>
      </c>
      <c r="U25" s="38" t="e">
        <f>'LICENCIAS Y PRODUCTOS 2025-03'!#REF!</f>
        <v>#REF!</v>
      </c>
      <c r="V25" s="38" t="e">
        <f>'LICENCIAS Y PRODUCTOS 2025-03'!#REF!</f>
        <v>#REF!</v>
      </c>
      <c r="W25" s="38" t="e">
        <f>'LICENCIAS Y PRODUCTOS 2025-03'!#REF!</f>
        <v>#REF!</v>
      </c>
      <c r="X25" s="38" t="e">
        <f>'LICENCIAS Y PRODUCTOS 2025-03'!#REF!</f>
        <v>#REF!</v>
      </c>
      <c r="Y25" s="38" t="e">
        <f>'LICENCIAS Y PRODUCTOS 2025-03'!#REF!</f>
        <v>#REF!</v>
      </c>
      <c r="Z25" s="38" t="e">
        <f>'LICENCIAS Y PRODUCTOS 2025-03'!#REF!</f>
        <v>#REF!</v>
      </c>
      <c r="AA25" s="38" t="e">
        <f>'LICENCIAS Y PRODUCTOS 2025-03'!#REF!</f>
        <v>#REF!</v>
      </c>
      <c r="AB25" s="38" t="e">
        <f>'LICENCIAS Y PRODUCTOS 2025-03'!#REF!</f>
        <v>#REF!</v>
      </c>
      <c r="AC25" s="38" t="e">
        <f>'LICENCIAS Y PRODUCTOS 2025-03'!#REF!</f>
        <v>#REF!</v>
      </c>
      <c r="AD25" s="38" t="e">
        <f>'LICENCIAS Y PRODUCTOS 2025-03'!#REF!</f>
        <v>#REF!</v>
      </c>
      <c r="AE25" s="38" t="e">
        <f>'LICENCIAS Y PRODUCTOS 2025-03'!#REF!</f>
        <v>#REF!</v>
      </c>
      <c r="AF25" s="38" t="e">
        <f>'LICENCIAS Y PRODUCTOS 2025-03'!#REF!</f>
        <v>#REF!</v>
      </c>
      <c r="AG25" s="38" t="e">
        <f>'LICENCIAS Y PRODUCTOS 2025-03'!#REF!</f>
        <v>#REF!</v>
      </c>
      <c r="AH25" s="38" t="e">
        <f>'LICENCIAS Y PRODUCTOS 2025-03'!#REF!</f>
        <v>#REF!</v>
      </c>
      <c r="AI25" s="38"/>
      <c r="AJ25" s="87" t="e">
        <f t="shared" si="0"/>
        <v>#REF!</v>
      </c>
      <c r="AL25" s="75" t="e">
        <f t="shared" si="1"/>
        <v>#REF!</v>
      </c>
    </row>
    <row r="26" spans="2:38" ht="16.5" thickTop="1" thickBot="1">
      <c r="B26" s="21" t="s">
        <v>21</v>
      </c>
      <c r="C26" s="2" t="s">
        <v>128</v>
      </c>
      <c r="D26" s="23" t="s">
        <v>111</v>
      </c>
      <c r="E26" s="38" t="e">
        <f>'LICENCIAS Y PRODUCTOS 2025-03'!#REF!</f>
        <v>#REF!</v>
      </c>
      <c r="F26" s="38" t="e">
        <f>'LICENCIAS Y PRODUCTOS 2025-03'!#REF!</f>
        <v>#REF!</v>
      </c>
      <c r="G26" s="38" t="e">
        <f>'LICENCIAS Y PRODUCTOS 2025-03'!#REF!</f>
        <v>#REF!</v>
      </c>
      <c r="H26" s="38" t="e">
        <f>'LICENCIAS Y PRODUCTOS 2025-03'!#REF!</f>
        <v>#REF!</v>
      </c>
      <c r="I26" s="38" t="e">
        <f>'LICENCIAS Y PRODUCTOS 2025-03'!#REF!</f>
        <v>#REF!</v>
      </c>
      <c r="J26" s="38" t="e">
        <f>'LICENCIAS Y PRODUCTOS 2025-03'!#REF!</f>
        <v>#REF!</v>
      </c>
      <c r="K26" s="38" t="e">
        <f>'LICENCIAS Y PRODUCTOS 2025-03'!#REF!</f>
        <v>#REF!</v>
      </c>
      <c r="L26" s="38" t="e">
        <f>'LICENCIAS Y PRODUCTOS 2025-03'!#REF!</f>
        <v>#REF!</v>
      </c>
      <c r="M26" s="38" t="e">
        <f>'LICENCIAS Y PRODUCTOS 2025-03'!#REF!</f>
        <v>#REF!</v>
      </c>
      <c r="N26" s="38">
        <f>'LICENCIAS Y PRODUCTOS 2025-03'!D24</f>
        <v>0</v>
      </c>
      <c r="O26" s="38" t="e">
        <f>'LICENCIAS Y PRODUCTOS 2025-03'!#REF!</f>
        <v>#REF!</v>
      </c>
      <c r="P26" s="38" t="e">
        <f>'LICENCIAS Y PRODUCTOS 2025-03'!#REF!</f>
        <v>#REF!</v>
      </c>
      <c r="Q26" s="38" t="e">
        <f>'LICENCIAS Y PRODUCTOS 2025-03'!#REF!</f>
        <v>#REF!</v>
      </c>
      <c r="R26" s="38" t="e">
        <f>'LICENCIAS Y PRODUCTOS 2025-03'!#REF!</f>
        <v>#REF!</v>
      </c>
      <c r="S26" s="38" t="e">
        <f>'LICENCIAS Y PRODUCTOS 2025-03'!#REF!</f>
        <v>#REF!</v>
      </c>
      <c r="T26" s="38" t="e">
        <f>'LICENCIAS Y PRODUCTOS 2025-03'!#REF!</f>
        <v>#REF!</v>
      </c>
      <c r="U26" s="38" t="e">
        <f>'LICENCIAS Y PRODUCTOS 2025-03'!#REF!</f>
        <v>#REF!</v>
      </c>
      <c r="V26" s="38" t="e">
        <f>'LICENCIAS Y PRODUCTOS 2025-03'!#REF!</f>
        <v>#REF!</v>
      </c>
      <c r="W26" s="38" t="e">
        <f>'LICENCIAS Y PRODUCTOS 2025-03'!#REF!</f>
        <v>#REF!</v>
      </c>
      <c r="X26" s="38" t="e">
        <f>'LICENCIAS Y PRODUCTOS 2025-03'!#REF!</f>
        <v>#REF!</v>
      </c>
      <c r="Y26" s="38" t="e">
        <f>'LICENCIAS Y PRODUCTOS 2025-03'!#REF!</f>
        <v>#REF!</v>
      </c>
      <c r="Z26" s="38" t="e">
        <f>'LICENCIAS Y PRODUCTOS 2025-03'!#REF!</f>
        <v>#REF!</v>
      </c>
      <c r="AA26" s="38" t="e">
        <f>'LICENCIAS Y PRODUCTOS 2025-03'!#REF!</f>
        <v>#REF!</v>
      </c>
      <c r="AB26" s="38" t="e">
        <f>'LICENCIAS Y PRODUCTOS 2025-03'!#REF!</f>
        <v>#REF!</v>
      </c>
      <c r="AC26" s="38" t="e">
        <f>'LICENCIAS Y PRODUCTOS 2025-03'!#REF!</f>
        <v>#REF!</v>
      </c>
      <c r="AD26" s="38" t="e">
        <f>'LICENCIAS Y PRODUCTOS 2025-03'!#REF!</f>
        <v>#REF!</v>
      </c>
      <c r="AE26" s="38" t="e">
        <f>'LICENCIAS Y PRODUCTOS 2025-03'!#REF!</f>
        <v>#REF!</v>
      </c>
      <c r="AF26" s="38" t="e">
        <f>'LICENCIAS Y PRODUCTOS 2025-03'!#REF!</f>
        <v>#REF!</v>
      </c>
      <c r="AG26" s="38" t="e">
        <f>'LICENCIAS Y PRODUCTOS 2025-03'!#REF!</f>
        <v>#REF!</v>
      </c>
      <c r="AH26" s="38" t="e">
        <f>'LICENCIAS Y PRODUCTOS 2025-03'!#REF!</f>
        <v>#REF!</v>
      </c>
      <c r="AI26" s="38"/>
      <c r="AJ26" s="87" t="e">
        <f t="shared" si="0"/>
        <v>#REF!</v>
      </c>
      <c r="AL26" s="75" t="e">
        <f t="shared" si="1"/>
        <v>#REF!</v>
      </c>
    </row>
    <row r="27" spans="2:38" ht="16.5" thickTop="1" thickBot="1">
      <c r="B27" s="21" t="s">
        <v>21</v>
      </c>
      <c r="C27" s="2" t="s">
        <v>129</v>
      </c>
      <c r="D27" s="23" t="s">
        <v>112</v>
      </c>
      <c r="E27" s="38" t="e">
        <f>'LICENCIAS Y PRODUCTOS 2025-03'!#REF!</f>
        <v>#REF!</v>
      </c>
      <c r="F27" s="38" t="e">
        <f>'LICENCIAS Y PRODUCTOS 2025-03'!#REF!</f>
        <v>#REF!</v>
      </c>
      <c r="G27" s="38" t="e">
        <f>'LICENCIAS Y PRODUCTOS 2025-03'!#REF!</f>
        <v>#REF!</v>
      </c>
      <c r="H27" s="38" t="e">
        <f>'LICENCIAS Y PRODUCTOS 2025-03'!#REF!</f>
        <v>#REF!</v>
      </c>
      <c r="I27" s="38" t="e">
        <f>'LICENCIAS Y PRODUCTOS 2025-03'!#REF!</f>
        <v>#REF!</v>
      </c>
      <c r="J27" s="38" t="e">
        <f>'LICENCIAS Y PRODUCTOS 2025-03'!#REF!</f>
        <v>#REF!</v>
      </c>
      <c r="K27" s="38" t="e">
        <f>'LICENCIAS Y PRODUCTOS 2025-03'!#REF!</f>
        <v>#REF!</v>
      </c>
      <c r="L27" s="38" t="e">
        <f>'LICENCIAS Y PRODUCTOS 2025-03'!#REF!</f>
        <v>#REF!</v>
      </c>
      <c r="M27" s="38" t="e">
        <f>'LICENCIAS Y PRODUCTOS 2025-03'!#REF!</f>
        <v>#REF!</v>
      </c>
      <c r="N27" s="38">
        <f>'LICENCIAS Y PRODUCTOS 2025-03'!D25</f>
        <v>1</v>
      </c>
      <c r="O27" s="38" t="e">
        <f>'LICENCIAS Y PRODUCTOS 2025-03'!#REF!</f>
        <v>#REF!</v>
      </c>
      <c r="P27" s="38" t="e">
        <f>'LICENCIAS Y PRODUCTOS 2025-03'!#REF!</f>
        <v>#REF!</v>
      </c>
      <c r="Q27" s="38" t="e">
        <f>'LICENCIAS Y PRODUCTOS 2025-03'!#REF!</f>
        <v>#REF!</v>
      </c>
      <c r="R27" s="38" t="e">
        <f>'LICENCIAS Y PRODUCTOS 2025-03'!#REF!</f>
        <v>#REF!</v>
      </c>
      <c r="S27" s="38" t="e">
        <f>'LICENCIAS Y PRODUCTOS 2025-03'!#REF!</f>
        <v>#REF!</v>
      </c>
      <c r="T27" s="38" t="e">
        <f>'LICENCIAS Y PRODUCTOS 2025-03'!#REF!</f>
        <v>#REF!</v>
      </c>
      <c r="U27" s="38" t="e">
        <f>'LICENCIAS Y PRODUCTOS 2025-03'!#REF!</f>
        <v>#REF!</v>
      </c>
      <c r="V27" s="38" t="e">
        <f>'LICENCIAS Y PRODUCTOS 2025-03'!#REF!</f>
        <v>#REF!</v>
      </c>
      <c r="W27" s="38" t="e">
        <f>'LICENCIAS Y PRODUCTOS 2025-03'!#REF!</f>
        <v>#REF!</v>
      </c>
      <c r="X27" s="38" t="e">
        <f>'LICENCIAS Y PRODUCTOS 2025-03'!#REF!</f>
        <v>#REF!</v>
      </c>
      <c r="Y27" s="38" t="e">
        <f>'LICENCIAS Y PRODUCTOS 2025-03'!#REF!</f>
        <v>#REF!</v>
      </c>
      <c r="Z27" s="38" t="e">
        <f>'LICENCIAS Y PRODUCTOS 2025-03'!#REF!</f>
        <v>#REF!</v>
      </c>
      <c r="AA27" s="38" t="e">
        <f>'LICENCIAS Y PRODUCTOS 2025-03'!#REF!</f>
        <v>#REF!</v>
      </c>
      <c r="AB27" s="38" t="e">
        <f>'LICENCIAS Y PRODUCTOS 2025-03'!#REF!</f>
        <v>#REF!</v>
      </c>
      <c r="AC27" s="38" t="e">
        <f>'LICENCIAS Y PRODUCTOS 2025-03'!#REF!</f>
        <v>#REF!</v>
      </c>
      <c r="AD27" s="38" t="e">
        <f>'LICENCIAS Y PRODUCTOS 2025-03'!#REF!</f>
        <v>#REF!</v>
      </c>
      <c r="AE27" s="38" t="e">
        <f>'LICENCIAS Y PRODUCTOS 2025-03'!#REF!</f>
        <v>#REF!</v>
      </c>
      <c r="AF27" s="38" t="e">
        <f>'LICENCIAS Y PRODUCTOS 2025-03'!#REF!</f>
        <v>#REF!</v>
      </c>
      <c r="AG27" s="38" t="e">
        <f>'LICENCIAS Y PRODUCTOS 2025-03'!#REF!</f>
        <v>#REF!</v>
      </c>
      <c r="AH27" s="38" t="e">
        <f>'LICENCIAS Y PRODUCTOS 2025-03'!#REF!</f>
        <v>#REF!</v>
      </c>
      <c r="AI27" s="38"/>
      <c r="AJ27" s="87" t="e">
        <f t="shared" si="0"/>
        <v>#REF!</v>
      </c>
      <c r="AK27" s="1"/>
      <c r="AL27" s="75" t="e">
        <f t="shared" si="1"/>
        <v>#REF!</v>
      </c>
    </row>
    <row r="28" spans="2:38" ht="25.5" thickTop="1" thickBot="1">
      <c r="B28" s="21" t="s">
        <v>21</v>
      </c>
      <c r="C28" s="79" t="s">
        <v>131</v>
      </c>
      <c r="D28" s="41" t="s">
        <v>132</v>
      </c>
      <c r="E28" s="38" t="e">
        <f>'LICENCIAS Y PRODUCTOS 2025-03'!#REF!</f>
        <v>#REF!</v>
      </c>
      <c r="F28" s="38" t="e">
        <f>'LICENCIAS Y PRODUCTOS 2025-03'!#REF!</f>
        <v>#REF!</v>
      </c>
      <c r="G28" s="38" t="e">
        <f>'LICENCIAS Y PRODUCTOS 2025-03'!#REF!</f>
        <v>#REF!</v>
      </c>
      <c r="H28" s="38" t="e">
        <f>'LICENCIAS Y PRODUCTOS 2025-03'!#REF!</f>
        <v>#REF!</v>
      </c>
      <c r="I28" s="38" t="e">
        <f>'LICENCIAS Y PRODUCTOS 2025-03'!#REF!</f>
        <v>#REF!</v>
      </c>
      <c r="J28" s="38" t="e">
        <f>'LICENCIAS Y PRODUCTOS 2025-03'!#REF!</f>
        <v>#REF!</v>
      </c>
      <c r="K28" s="38" t="e">
        <f>'LICENCIAS Y PRODUCTOS 2025-03'!#REF!</f>
        <v>#REF!</v>
      </c>
      <c r="L28" s="38" t="e">
        <f>'LICENCIAS Y PRODUCTOS 2025-03'!#REF!</f>
        <v>#REF!</v>
      </c>
      <c r="M28" s="38" t="e">
        <f>'LICENCIAS Y PRODUCTOS 2025-03'!#REF!</f>
        <v>#REF!</v>
      </c>
      <c r="N28" s="38">
        <f>'LICENCIAS Y PRODUCTOS 2025-03'!D26</f>
        <v>0</v>
      </c>
      <c r="O28" s="38" t="e">
        <f>'LICENCIAS Y PRODUCTOS 2025-03'!#REF!</f>
        <v>#REF!</v>
      </c>
      <c r="P28" s="38" t="e">
        <f>'LICENCIAS Y PRODUCTOS 2025-03'!#REF!</f>
        <v>#REF!</v>
      </c>
      <c r="Q28" s="38" t="e">
        <f>'LICENCIAS Y PRODUCTOS 2025-03'!#REF!</f>
        <v>#REF!</v>
      </c>
      <c r="R28" s="38" t="e">
        <f>'LICENCIAS Y PRODUCTOS 2025-03'!#REF!</f>
        <v>#REF!</v>
      </c>
      <c r="S28" s="38" t="e">
        <f>'LICENCIAS Y PRODUCTOS 2025-03'!#REF!</f>
        <v>#REF!</v>
      </c>
      <c r="T28" s="38" t="e">
        <f>'LICENCIAS Y PRODUCTOS 2025-03'!#REF!</f>
        <v>#REF!</v>
      </c>
      <c r="U28" s="38" t="e">
        <f>'LICENCIAS Y PRODUCTOS 2025-03'!#REF!</f>
        <v>#REF!</v>
      </c>
      <c r="V28" s="38" t="e">
        <f>'LICENCIAS Y PRODUCTOS 2025-03'!#REF!</f>
        <v>#REF!</v>
      </c>
      <c r="W28" s="38" t="e">
        <f>'LICENCIAS Y PRODUCTOS 2025-03'!#REF!</f>
        <v>#REF!</v>
      </c>
      <c r="X28" s="38" t="e">
        <f>'LICENCIAS Y PRODUCTOS 2025-03'!#REF!</f>
        <v>#REF!</v>
      </c>
      <c r="Y28" s="38" t="e">
        <f>'LICENCIAS Y PRODUCTOS 2025-03'!#REF!</f>
        <v>#REF!</v>
      </c>
      <c r="Z28" s="38" t="e">
        <f>'LICENCIAS Y PRODUCTOS 2025-03'!#REF!</f>
        <v>#REF!</v>
      </c>
      <c r="AA28" s="38" t="e">
        <f>'LICENCIAS Y PRODUCTOS 2025-03'!#REF!</f>
        <v>#REF!</v>
      </c>
      <c r="AB28" s="38" t="e">
        <f>'LICENCIAS Y PRODUCTOS 2025-03'!#REF!</f>
        <v>#REF!</v>
      </c>
      <c r="AC28" s="38" t="e">
        <f>'LICENCIAS Y PRODUCTOS 2025-03'!#REF!</f>
        <v>#REF!</v>
      </c>
      <c r="AD28" s="38" t="e">
        <f>'LICENCIAS Y PRODUCTOS 2025-03'!#REF!</f>
        <v>#REF!</v>
      </c>
      <c r="AE28" s="38" t="e">
        <f>'LICENCIAS Y PRODUCTOS 2025-03'!#REF!</f>
        <v>#REF!</v>
      </c>
      <c r="AF28" s="38" t="e">
        <f>'LICENCIAS Y PRODUCTOS 2025-03'!#REF!</f>
        <v>#REF!</v>
      </c>
      <c r="AG28" s="38" t="e">
        <f>'LICENCIAS Y PRODUCTOS 2025-03'!#REF!</f>
        <v>#REF!</v>
      </c>
      <c r="AH28" s="38" t="e">
        <f>'LICENCIAS Y PRODUCTOS 2025-03'!#REF!</f>
        <v>#REF!</v>
      </c>
      <c r="AI28" s="38"/>
      <c r="AJ28" s="87" t="e">
        <f t="shared" si="0"/>
        <v>#REF!</v>
      </c>
      <c r="AL28" s="75" t="e">
        <f t="shared" si="1"/>
        <v>#REF!</v>
      </c>
    </row>
    <row r="29" spans="2:38" ht="17.649999999999999" customHeight="1" thickTop="1" thickBot="1">
      <c r="B29" s="21" t="s">
        <v>27</v>
      </c>
      <c r="C29" s="2" t="s">
        <v>28</v>
      </c>
      <c r="D29" s="23" t="s">
        <v>113</v>
      </c>
      <c r="E29" s="38" t="e">
        <f>'LICENCIAS Y PRODUCTOS 2025-03'!#REF!</f>
        <v>#REF!</v>
      </c>
      <c r="F29" s="38" t="e">
        <f>'LICENCIAS Y PRODUCTOS 2025-03'!#REF!</f>
        <v>#REF!</v>
      </c>
      <c r="G29" s="38" t="e">
        <f>'LICENCIAS Y PRODUCTOS 2025-03'!#REF!</f>
        <v>#REF!</v>
      </c>
      <c r="H29" s="38" t="e">
        <f>'LICENCIAS Y PRODUCTOS 2025-03'!#REF!</f>
        <v>#REF!</v>
      </c>
      <c r="I29" s="38" t="e">
        <f>'LICENCIAS Y PRODUCTOS 2025-03'!#REF!</f>
        <v>#REF!</v>
      </c>
      <c r="J29" s="38" t="e">
        <f>'LICENCIAS Y PRODUCTOS 2025-03'!#REF!</f>
        <v>#REF!</v>
      </c>
      <c r="K29" s="38" t="e">
        <f>'LICENCIAS Y PRODUCTOS 2025-03'!#REF!</f>
        <v>#REF!</v>
      </c>
      <c r="L29" s="38" t="e">
        <f>'LICENCIAS Y PRODUCTOS 2025-03'!#REF!</f>
        <v>#REF!</v>
      </c>
      <c r="M29" s="38" t="e">
        <f>'LICENCIAS Y PRODUCTOS 2025-03'!#REF!</f>
        <v>#REF!</v>
      </c>
      <c r="N29" s="38">
        <f>'LICENCIAS Y PRODUCTOS 2025-03'!D27</f>
        <v>0</v>
      </c>
      <c r="O29" s="38" t="e">
        <f>'LICENCIAS Y PRODUCTOS 2025-03'!#REF!</f>
        <v>#REF!</v>
      </c>
      <c r="P29" s="38" t="e">
        <f>'LICENCIAS Y PRODUCTOS 2025-03'!#REF!</f>
        <v>#REF!</v>
      </c>
      <c r="Q29" s="38" t="e">
        <f>'LICENCIAS Y PRODUCTOS 2025-03'!#REF!</f>
        <v>#REF!</v>
      </c>
      <c r="R29" s="38" t="e">
        <f>'LICENCIAS Y PRODUCTOS 2025-03'!#REF!</f>
        <v>#REF!</v>
      </c>
      <c r="S29" s="38" t="e">
        <f>'LICENCIAS Y PRODUCTOS 2025-03'!#REF!</f>
        <v>#REF!</v>
      </c>
      <c r="T29" s="38" t="e">
        <f>'LICENCIAS Y PRODUCTOS 2025-03'!#REF!</f>
        <v>#REF!</v>
      </c>
      <c r="U29" s="38" t="e">
        <f>'LICENCIAS Y PRODUCTOS 2025-03'!#REF!</f>
        <v>#REF!</v>
      </c>
      <c r="V29" s="38" t="e">
        <f>'LICENCIAS Y PRODUCTOS 2025-03'!#REF!</f>
        <v>#REF!</v>
      </c>
      <c r="W29" s="38" t="e">
        <f>'LICENCIAS Y PRODUCTOS 2025-03'!#REF!</f>
        <v>#REF!</v>
      </c>
      <c r="X29" s="38" t="e">
        <f>'LICENCIAS Y PRODUCTOS 2025-03'!#REF!</f>
        <v>#REF!</v>
      </c>
      <c r="Y29" s="38" t="e">
        <f>'LICENCIAS Y PRODUCTOS 2025-03'!#REF!</f>
        <v>#REF!</v>
      </c>
      <c r="Z29" s="38" t="e">
        <f>'LICENCIAS Y PRODUCTOS 2025-03'!#REF!</f>
        <v>#REF!</v>
      </c>
      <c r="AA29" s="38" t="e">
        <f>'LICENCIAS Y PRODUCTOS 2025-03'!#REF!</f>
        <v>#REF!</v>
      </c>
      <c r="AB29" s="38" t="e">
        <f>'LICENCIAS Y PRODUCTOS 2025-03'!#REF!</f>
        <v>#REF!</v>
      </c>
      <c r="AC29" s="38" t="e">
        <f>'LICENCIAS Y PRODUCTOS 2025-03'!#REF!</f>
        <v>#REF!</v>
      </c>
      <c r="AD29" s="38" t="e">
        <f>'LICENCIAS Y PRODUCTOS 2025-03'!#REF!</f>
        <v>#REF!</v>
      </c>
      <c r="AE29" s="38" t="e">
        <f>'LICENCIAS Y PRODUCTOS 2025-03'!#REF!</f>
        <v>#REF!</v>
      </c>
      <c r="AF29" s="38" t="e">
        <f>'LICENCIAS Y PRODUCTOS 2025-03'!#REF!</f>
        <v>#REF!</v>
      </c>
      <c r="AG29" s="38" t="e">
        <f>'LICENCIAS Y PRODUCTOS 2025-03'!#REF!</f>
        <v>#REF!</v>
      </c>
      <c r="AH29" s="38" t="e">
        <f>'LICENCIAS Y PRODUCTOS 2025-03'!#REF!</f>
        <v>#REF!</v>
      </c>
      <c r="AI29" s="38"/>
      <c r="AJ29" s="87" t="e">
        <f t="shared" si="0"/>
        <v>#REF!</v>
      </c>
      <c r="AL29" s="75" t="e">
        <f t="shared" si="1"/>
        <v>#REF!</v>
      </c>
    </row>
    <row r="30" spans="2:38" ht="16.5" thickTop="1" thickBot="1">
      <c r="B30" s="11"/>
      <c r="C30" s="12" t="s">
        <v>62</v>
      </c>
      <c r="D30" s="12"/>
      <c r="E30" s="43" t="e">
        <f>SUM(Table13[AT])</f>
        <v>#REF!</v>
      </c>
      <c r="F30" s="43" t="e">
        <f>SUM(Table13[BE])</f>
        <v>#REF!</v>
      </c>
      <c r="G30" s="43" t="e">
        <f>SUM(Table13[BG])</f>
        <v>#REF!</v>
      </c>
      <c r="H30" s="43" t="e">
        <f>SUM(Table13[CY])</f>
        <v>#REF!</v>
      </c>
      <c r="I30" s="43" t="e">
        <f>SUM(Table13[CZ])</f>
        <v>#REF!</v>
      </c>
      <c r="J30" s="43" t="e">
        <f>SUM(Table13[DE])</f>
        <v>#REF!</v>
      </c>
      <c r="K30" s="43" t="e">
        <f>SUM(Table13[DK])</f>
        <v>#REF!</v>
      </c>
      <c r="L30" s="43" t="e">
        <f>SUM(Table13[EE])</f>
        <v>#REF!</v>
      </c>
      <c r="M30" s="43" t="e">
        <f>SUM(Table13[EL])</f>
        <v>#REF!</v>
      </c>
      <c r="N30" s="43">
        <f>SUM(Table13[ES])</f>
        <v>20</v>
      </c>
      <c r="O30" s="43" t="e">
        <f>SUM(Table13[FI])</f>
        <v>#REF!</v>
      </c>
      <c r="P30" s="43" t="e">
        <f>SUM(Table13[FR])</f>
        <v>#REF!</v>
      </c>
      <c r="Q30" s="43" t="e">
        <f>SUM(Table13[[HR ]])</f>
        <v>#REF!</v>
      </c>
      <c r="R30" s="43" t="e">
        <f>SUM(Table13[HU])</f>
        <v>#REF!</v>
      </c>
      <c r="S30" s="43" t="e">
        <f>SUM(Table13[IE])</f>
        <v>#REF!</v>
      </c>
      <c r="T30" s="43" t="e">
        <f>SUM(Table13[IS])</f>
        <v>#REF!</v>
      </c>
      <c r="U30" s="43" t="e">
        <f>SUM(Table13[IT])</f>
        <v>#REF!</v>
      </c>
      <c r="V30" s="43" t="e">
        <f>SUM(Table13[LT])</f>
        <v>#REF!</v>
      </c>
      <c r="W30" s="43" t="e">
        <f>SUM(Table13[LU])</f>
        <v>#REF!</v>
      </c>
      <c r="X30" s="43" t="e">
        <f>SUM(Table13[LV])</f>
        <v>#REF!</v>
      </c>
      <c r="Y30" s="43" t="e">
        <f>SUM(Table13[MT])</f>
        <v>#REF!</v>
      </c>
      <c r="Z30" s="43" t="e">
        <f>SUM(Table13[NL])</f>
        <v>#REF!</v>
      </c>
      <c r="AA30" s="43" t="e">
        <f>SUM(Table13[NO])</f>
        <v>#REF!</v>
      </c>
      <c r="AB30" s="43" t="e">
        <f>SUM(Table13[PL])</f>
        <v>#REF!</v>
      </c>
      <c r="AC30" s="43" t="e">
        <f>SUM(Table13[PT])</f>
        <v>#REF!</v>
      </c>
      <c r="AD30" s="43" t="e">
        <f>SUM(Table13[RO])</f>
        <v>#REF!</v>
      </c>
      <c r="AE30" s="43" t="e">
        <f>SUM(Table13[SE])</f>
        <v>#REF!</v>
      </c>
      <c r="AF30" s="43" t="e">
        <f>SUM(Table13[SI])</f>
        <v>#REF!</v>
      </c>
      <c r="AG30" s="43" t="e">
        <f>SUM(Table13[SK])</f>
        <v>#REF!</v>
      </c>
      <c r="AH30" s="43" t="e">
        <f>SUM(Table13[GBNIR])</f>
        <v>#REF!</v>
      </c>
      <c r="AI30" s="19"/>
      <c r="AJ30" s="13" t="e">
        <f>SUM(AJ4:AJ29)</f>
        <v>#REF!</v>
      </c>
      <c r="AK30" s="28"/>
    </row>
    <row r="31" spans="2:38" ht="15.75" thickTop="1">
      <c r="AJ31" s="28"/>
    </row>
    <row r="32" spans="2:38" ht="15.75" thickBot="1"/>
    <row r="33" spans="2:39" ht="16.5" thickTop="1" thickBot="1">
      <c r="B33" s="5" t="s">
        <v>63</v>
      </c>
      <c r="C33" s="6"/>
      <c r="D33" s="6"/>
      <c r="E33" s="7"/>
      <c r="F33" s="7"/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9"/>
    </row>
    <row r="34" spans="2:39" ht="16.5" thickTop="1" thickBot="1">
      <c r="B34" s="3" t="s">
        <v>91</v>
      </c>
      <c r="C34" s="3" t="s">
        <v>0</v>
      </c>
      <c r="D34" s="3" t="s">
        <v>114</v>
      </c>
      <c r="E34" s="20" t="s">
        <v>35</v>
      </c>
      <c r="F34" s="20" t="s">
        <v>36</v>
      </c>
      <c r="G34" s="20" t="s">
        <v>37</v>
      </c>
      <c r="H34" s="20" t="s">
        <v>39</v>
      </c>
      <c r="I34" s="20" t="s">
        <v>33</v>
      </c>
      <c r="J34" s="20" t="s">
        <v>44</v>
      </c>
      <c r="K34" s="20" t="s">
        <v>40</v>
      </c>
      <c r="L34" s="20" t="s">
        <v>41</v>
      </c>
      <c r="M34" s="20" t="s">
        <v>135</v>
      </c>
      <c r="N34" s="20" t="s">
        <v>59</v>
      </c>
      <c r="O34" s="20" t="s">
        <v>42</v>
      </c>
      <c r="P34" s="20" t="s">
        <v>43</v>
      </c>
      <c r="Q34" s="20" t="s">
        <v>38</v>
      </c>
      <c r="R34" s="20" t="s">
        <v>45</v>
      </c>
      <c r="S34" s="20" t="s">
        <v>47</v>
      </c>
      <c r="T34" s="20" t="s">
        <v>46</v>
      </c>
      <c r="U34" s="20" t="s">
        <v>48</v>
      </c>
      <c r="V34" s="20" t="s">
        <v>50</v>
      </c>
      <c r="W34" s="20" t="s">
        <v>51</v>
      </c>
      <c r="X34" s="20" t="s">
        <v>49</v>
      </c>
      <c r="Y34" s="20" t="s">
        <v>52</v>
      </c>
      <c r="Z34" s="20" t="s">
        <v>53</v>
      </c>
      <c r="AA34" s="20" t="s">
        <v>54</v>
      </c>
      <c r="AB34" s="20" t="s">
        <v>121</v>
      </c>
      <c r="AC34" s="20" t="s">
        <v>55</v>
      </c>
      <c r="AD34" s="20" t="s">
        <v>56</v>
      </c>
      <c r="AE34" s="20" t="s">
        <v>60</v>
      </c>
      <c r="AF34" s="20" t="s">
        <v>58</v>
      </c>
      <c r="AG34" s="20" t="s">
        <v>57</v>
      </c>
      <c r="AH34" s="45" t="s">
        <v>169</v>
      </c>
      <c r="AI34" s="45" t="s">
        <v>138</v>
      </c>
      <c r="AJ34" s="15" t="s">
        <v>61</v>
      </c>
    </row>
    <row r="35" spans="2:39" ht="16.5" thickTop="1" thickBot="1">
      <c r="B35" s="21" t="s">
        <v>1</v>
      </c>
      <c r="C35" s="76" t="s">
        <v>172</v>
      </c>
      <c r="D35" s="77" t="s">
        <v>92</v>
      </c>
      <c r="E35" s="38" t="e">
        <f>'LICENCIAS Y PRODUCTOS 2025-03'!#REF!</f>
        <v>#REF!</v>
      </c>
      <c r="F35" s="38" t="e">
        <f>'LICENCIAS Y PRODUCTOS 2025-03'!#REF!</f>
        <v>#REF!</v>
      </c>
      <c r="G35" s="38" t="e">
        <f>'LICENCIAS Y PRODUCTOS 2025-03'!#REF!</f>
        <v>#REF!</v>
      </c>
      <c r="H35" s="38" t="e">
        <f>'LICENCIAS Y PRODUCTOS 2025-03'!#REF!</f>
        <v>#REF!</v>
      </c>
      <c r="I35" s="38" t="e">
        <f>'LICENCIAS Y PRODUCTOS 2025-03'!#REF!</f>
        <v>#REF!</v>
      </c>
      <c r="J35" s="38" t="e">
        <f>'LICENCIAS Y PRODUCTOS 2025-03'!#REF!</f>
        <v>#REF!</v>
      </c>
      <c r="K35" s="38" t="e">
        <f>'LICENCIAS Y PRODUCTOS 2025-03'!#REF!</f>
        <v>#REF!</v>
      </c>
      <c r="L35" s="38" t="e">
        <f>'LICENCIAS Y PRODUCTOS 2025-03'!#REF!</f>
        <v>#REF!</v>
      </c>
      <c r="M35" s="38" t="e">
        <f>'LICENCIAS Y PRODUCTOS 2025-03'!#REF!</f>
        <v>#REF!</v>
      </c>
      <c r="N35" s="38">
        <f>'LICENCIAS Y PRODUCTOS 2025-03'!E3</f>
        <v>1</v>
      </c>
      <c r="O35" s="38" t="e">
        <f>'LICENCIAS Y PRODUCTOS 2025-03'!#REF!</f>
        <v>#REF!</v>
      </c>
      <c r="P35" s="38" t="e">
        <f>'LICENCIAS Y PRODUCTOS 2025-03'!#REF!</f>
        <v>#REF!</v>
      </c>
      <c r="Q35" s="38" t="e">
        <f>'LICENCIAS Y PRODUCTOS 2025-03'!#REF!</f>
        <v>#REF!</v>
      </c>
      <c r="R35" s="38" t="e">
        <f>'LICENCIAS Y PRODUCTOS 2025-03'!#REF!</f>
        <v>#REF!</v>
      </c>
      <c r="S35" s="38" t="e">
        <f>'LICENCIAS Y PRODUCTOS 2025-03'!#REF!</f>
        <v>#REF!</v>
      </c>
      <c r="T35" s="38" t="e">
        <f>'LICENCIAS Y PRODUCTOS 2025-03'!#REF!</f>
        <v>#REF!</v>
      </c>
      <c r="U35" s="38" t="e">
        <f>'LICENCIAS Y PRODUCTOS 2025-03'!#REF!</f>
        <v>#REF!</v>
      </c>
      <c r="V35" s="38" t="e">
        <f>'LICENCIAS Y PRODUCTOS 2025-03'!#REF!</f>
        <v>#REF!</v>
      </c>
      <c r="W35" s="38" t="e">
        <f>'LICENCIAS Y PRODUCTOS 2025-03'!#REF!</f>
        <v>#REF!</v>
      </c>
      <c r="X35" s="38" t="e">
        <f>'LICENCIAS Y PRODUCTOS 2025-03'!#REF!</f>
        <v>#REF!</v>
      </c>
      <c r="Y35" s="38" t="e">
        <f>'LICENCIAS Y PRODUCTOS 2025-03'!#REF!</f>
        <v>#REF!</v>
      </c>
      <c r="Z35" s="38" t="e">
        <f>'LICENCIAS Y PRODUCTOS 2025-03'!#REF!</f>
        <v>#REF!</v>
      </c>
      <c r="AA35" s="38" t="e">
        <f>'LICENCIAS Y PRODUCTOS 2025-03'!#REF!</f>
        <v>#REF!</v>
      </c>
      <c r="AB35" s="38" t="e">
        <f>'LICENCIAS Y PRODUCTOS 2025-03'!#REF!</f>
        <v>#REF!</v>
      </c>
      <c r="AC35" s="38" t="e">
        <f>'LICENCIAS Y PRODUCTOS 2025-03'!#REF!</f>
        <v>#REF!</v>
      </c>
      <c r="AD35" s="38" t="e">
        <f>'LICENCIAS Y PRODUCTOS 2025-03'!#REF!</f>
        <v>#REF!</v>
      </c>
      <c r="AE35" s="38" t="e">
        <f>'LICENCIAS Y PRODUCTOS 2025-03'!#REF!</f>
        <v>#REF!</v>
      </c>
      <c r="AF35" s="38" t="e">
        <f>'LICENCIAS Y PRODUCTOS 2025-03'!#REF!</f>
        <v>#REF!</v>
      </c>
      <c r="AG35" s="38" t="e">
        <f>'LICENCIAS Y PRODUCTOS 2025-03'!#REF!</f>
        <v>#REF!</v>
      </c>
      <c r="AH35" s="38" t="e">
        <f>'LICENCIAS Y PRODUCTOS 2025-03'!#REF!</f>
        <v>#REF!</v>
      </c>
      <c r="AI35" s="38"/>
      <c r="AJ35" s="88" t="e">
        <f t="shared" ref="AJ35:AJ60" si="2">SUM(E35:AI35)</f>
        <v>#REF!</v>
      </c>
      <c r="AK35" s="28" t="e">
        <f>SUM(AJ35:AJ39)</f>
        <v>#REF!</v>
      </c>
      <c r="AL35" t="s">
        <v>1</v>
      </c>
      <c r="AM35" s="75" t="e">
        <f t="shared" ref="AM35:AM60" si="3">AJ35/$AJ$61</f>
        <v>#REF!</v>
      </c>
    </row>
    <row r="36" spans="2:39" ht="16.5" thickTop="1" thickBot="1">
      <c r="B36" s="21" t="s">
        <v>1</v>
      </c>
      <c r="C36" s="112" t="s">
        <v>236</v>
      </c>
      <c r="D36" s="113" t="s">
        <v>93</v>
      </c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6">
        <f t="shared" si="2"/>
        <v>0</v>
      </c>
      <c r="AM36" s="75" t="e">
        <f t="shared" si="3"/>
        <v>#REF!</v>
      </c>
    </row>
    <row r="37" spans="2:39" ht="16.5" thickTop="1" thickBot="1">
      <c r="B37" s="21" t="s">
        <v>1</v>
      </c>
      <c r="C37" s="2" t="s">
        <v>229</v>
      </c>
      <c r="D37" s="108" t="s">
        <v>93</v>
      </c>
      <c r="E37" s="38" t="e">
        <f>'LICENCIAS Y PRODUCTOS 2025-03'!#REF!</f>
        <v>#REF!</v>
      </c>
      <c r="F37" s="38" t="e">
        <f>'LICENCIAS Y PRODUCTOS 2025-03'!#REF!</f>
        <v>#REF!</v>
      </c>
      <c r="G37" s="38" t="e">
        <f>'LICENCIAS Y PRODUCTOS 2025-03'!#REF!</f>
        <v>#REF!</v>
      </c>
      <c r="H37" s="38" t="e">
        <f>'LICENCIAS Y PRODUCTOS 2025-03'!#REF!</f>
        <v>#REF!</v>
      </c>
      <c r="I37" s="38" t="e">
        <f>'LICENCIAS Y PRODUCTOS 2025-03'!#REF!</f>
        <v>#REF!</v>
      </c>
      <c r="J37" s="38" t="e">
        <f>'LICENCIAS Y PRODUCTOS 2025-03'!#REF!</f>
        <v>#REF!</v>
      </c>
      <c r="K37" s="38" t="e">
        <f>'LICENCIAS Y PRODUCTOS 2025-03'!#REF!</f>
        <v>#REF!</v>
      </c>
      <c r="L37" s="38" t="e">
        <f>'LICENCIAS Y PRODUCTOS 2025-03'!#REF!</f>
        <v>#REF!</v>
      </c>
      <c r="M37" s="38" t="e">
        <f>'LICENCIAS Y PRODUCTOS 2025-03'!#REF!</f>
        <v>#REF!</v>
      </c>
      <c r="N37" s="38">
        <f>'LICENCIAS Y PRODUCTOS 2025-03'!E4</f>
        <v>0</v>
      </c>
      <c r="O37" s="38" t="e">
        <f>'LICENCIAS Y PRODUCTOS 2025-03'!#REF!</f>
        <v>#REF!</v>
      </c>
      <c r="P37" s="38" t="e">
        <f>'LICENCIAS Y PRODUCTOS 2025-03'!#REF!</f>
        <v>#REF!</v>
      </c>
      <c r="Q37" s="38" t="e">
        <f>'LICENCIAS Y PRODUCTOS 2025-03'!#REF!</f>
        <v>#REF!</v>
      </c>
      <c r="R37" s="38" t="e">
        <f>'LICENCIAS Y PRODUCTOS 2025-03'!#REF!</f>
        <v>#REF!</v>
      </c>
      <c r="S37" s="38" t="e">
        <f>'LICENCIAS Y PRODUCTOS 2025-03'!#REF!</f>
        <v>#REF!</v>
      </c>
      <c r="T37" s="38" t="e">
        <f>'LICENCIAS Y PRODUCTOS 2025-03'!#REF!</f>
        <v>#REF!</v>
      </c>
      <c r="U37" s="38" t="e">
        <f>'LICENCIAS Y PRODUCTOS 2025-03'!#REF!</f>
        <v>#REF!</v>
      </c>
      <c r="V37" s="38" t="e">
        <f>'LICENCIAS Y PRODUCTOS 2025-03'!#REF!</f>
        <v>#REF!</v>
      </c>
      <c r="W37" s="38" t="e">
        <f>'LICENCIAS Y PRODUCTOS 2025-03'!#REF!</f>
        <v>#REF!</v>
      </c>
      <c r="X37" s="38" t="e">
        <f>'LICENCIAS Y PRODUCTOS 2025-03'!#REF!</f>
        <v>#REF!</v>
      </c>
      <c r="Y37" s="38" t="e">
        <f>'LICENCIAS Y PRODUCTOS 2025-03'!#REF!</f>
        <v>#REF!</v>
      </c>
      <c r="Z37" s="38" t="e">
        <f>'LICENCIAS Y PRODUCTOS 2025-03'!#REF!</f>
        <v>#REF!</v>
      </c>
      <c r="AA37" s="38" t="e">
        <f>'LICENCIAS Y PRODUCTOS 2025-03'!#REF!</f>
        <v>#REF!</v>
      </c>
      <c r="AB37" s="38" t="e">
        <f>'LICENCIAS Y PRODUCTOS 2025-03'!#REF!</f>
        <v>#REF!</v>
      </c>
      <c r="AC37" s="38" t="e">
        <f>'LICENCIAS Y PRODUCTOS 2025-03'!#REF!</f>
        <v>#REF!</v>
      </c>
      <c r="AD37" s="38" t="e">
        <f>'LICENCIAS Y PRODUCTOS 2025-03'!#REF!</f>
        <v>#REF!</v>
      </c>
      <c r="AE37" s="38" t="e">
        <f>'LICENCIAS Y PRODUCTOS 2025-03'!#REF!</f>
        <v>#REF!</v>
      </c>
      <c r="AF37" s="38" t="e">
        <f>'LICENCIAS Y PRODUCTOS 2025-03'!#REF!</f>
        <v>#REF!</v>
      </c>
      <c r="AG37" s="38" t="e">
        <f>'LICENCIAS Y PRODUCTOS 2025-03'!#REF!</f>
        <v>#REF!</v>
      </c>
      <c r="AH37" s="38" t="e">
        <f>'LICENCIAS Y PRODUCTOS 2025-03'!#REF!</f>
        <v>#REF!</v>
      </c>
      <c r="AI37" s="38"/>
      <c r="AJ37" s="88" t="e">
        <f t="shared" si="2"/>
        <v>#REF!</v>
      </c>
      <c r="AM37" s="75" t="e">
        <f t="shared" si="3"/>
        <v>#REF!</v>
      </c>
    </row>
    <row r="38" spans="2:39" ht="16.5" thickTop="1" thickBot="1">
      <c r="B38" s="21" t="s">
        <v>1</v>
      </c>
      <c r="C38" s="2" t="s">
        <v>226</v>
      </c>
      <c r="D38" s="108" t="s">
        <v>227</v>
      </c>
      <c r="E38" s="38" t="e">
        <f>'LICENCIAS Y PRODUCTOS 2025-03'!#REF!</f>
        <v>#REF!</v>
      </c>
      <c r="F38" s="38" t="e">
        <f>'LICENCIAS Y PRODUCTOS 2025-03'!#REF!</f>
        <v>#REF!</v>
      </c>
      <c r="G38" s="38" t="e">
        <f>'LICENCIAS Y PRODUCTOS 2025-03'!#REF!</f>
        <v>#REF!</v>
      </c>
      <c r="H38" s="38" t="e">
        <f>'LICENCIAS Y PRODUCTOS 2025-03'!#REF!</f>
        <v>#REF!</v>
      </c>
      <c r="I38" s="38" t="e">
        <f>'LICENCIAS Y PRODUCTOS 2025-03'!#REF!</f>
        <v>#REF!</v>
      </c>
      <c r="J38" s="38" t="e">
        <f>'LICENCIAS Y PRODUCTOS 2025-03'!#REF!</f>
        <v>#REF!</v>
      </c>
      <c r="K38" s="38" t="e">
        <f>'LICENCIAS Y PRODUCTOS 2025-03'!#REF!</f>
        <v>#REF!</v>
      </c>
      <c r="L38" s="38" t="e">
        <f>'LICENCIAS Y PRODUCTOS 2025-03'!#REF!</f>
        <v>#REF!</v>
      </c>
      <c r="M38" s="38" t="e">
        <f>'LICENCIAS Y PRODUCTOS 2025-03'!#REF!</f>
        <v>#REF!</v>
      </c>
      <c r="N38" s="38">
        <f>'LICENCIAS Y PRODUCTOS 2025-03'!E5</f>
        <v>0</v>
      </c>
      <c r="O38" s="38" t="e">
        <f>'LICENCIAS Y PRODUCTOS 2025-03'!#REF!</f>
        <v>#REF!</v>
      </c>
      <c r="P38" s="38" t="e">
        <f>'LICENCIAS Y PRODUCTOS 2025-03'!#REF!</f>
        <v>#REF!</v>
      </c>
      <c r="Q38" s="38" t="e">
        <f>'LICENCIAS Y PRODUCTOS 2025-03'!#REF!</f>
        <v>#REF!</v>
      </c>
      <c r="R38" s="38" t="e">
        <f>'LICENCIAS Y PRODUCTOS 2025-03'!#REF!</f>
        <v>#REF!</v>
      </c>
      <c r="S38" s="38" t="e">
        <f>'LICENCIAS Y PRODUCTOS 2025-03'!#REF!</f>
        <v>#REF!</v>
      </c>
      <c r="T38" s="38" t="e">
        <f>'LICENCIAS Y PRODUCTOS 2025-03'!#REF!</f>
        <v>#REF!</v>
      </c>
      <c r="U38" s="38" t="e">
        <f>'LICENCIAS Y PRODUCTOS 2025-03'!#REF!</f>
        <v>#REF!</v>
      </c>
      <c r="V38" s="38" t="e">
        <f>'LICENCIAS Y PRODUCTOS 2025-03'!#REF!</f>
        <v>#REF!</v>
      </c>
      <c r="W38" s="38" t="e">
        <f>'LICENCIAS Y PRODUCTOS 2025-03'!#REF!</f>
        <v>#REF!</v>
      </c>
      <c r="X38" s="38" t="e">
        <f>'LICENCIAS Y PRODUCTOS 2025-03'!#REF!</f>
        <v>#REF!</v>
      </c>
      <c r="Y38" s="38" t="e">
        <f>'LICENCIAS Y PRODUCTOS 2025-03'!#REF!</f>
        <v>#REF!</v>
      </c>
      <c r="Z38" s="38" t="e">
        <f>'LICENCIAS Y PRODUCTOS 2025-03'!#REF!</f>
        <v>#REF!</v>
      </c>
      <c r="AA38" s="38" t="e">
        <f>'LICENCIAS Y PRODUCTOS 2025-03'!#REF!</f>
        <v>#REF!</v>
      </c>
      <c r="AB38" s="38" t="e">
        <f>'LICENCIAS Y PRODUCTOS 2025-03'!#REF!</f>
        <v>#REF!</v>
      </c>
      <c r="AC38" s="38" t="e">
        <f>'LICENCIAS Y PRODUCTOS 2025-03'!#REF!</f>
        <v>#REF!</v>
      </c>
      <c r="AD38" s="38" t="e">
        <f>'LICENCIAS Y PRODUCTOS 2025-03'!#REF!</f>
        <v>#REF!</v>
      </c>
      <c r="AE38" s="38" t="e">
        <f>'LICENCIAS Y PRODUCTOS 2025-03'!#REF!</f>
        <v>#REF!</v>
      </c>
      <c r="AF38" s="38" t="e">
        <f>'LICENCIAS Y PRODUCTOS 2025-03'!#REF!</f>
        <v>#REF!</v>
      </c>
      <c r="AG38" s="38" t="e">
        <f>'LICENCIAS Y PRODUCTOS 2025-03'!#REF!</f>
        <v>#REF!</v>
      </c>
      <c r="AH38" s="38" t="e">
        <f>'LICENCIAS Y PRODUCTOS 2025-03'!#REF!</f>
        <v>#REF!</v>
      </c>
      <c r="AI38" s="38"/>
      <c r="AJ38" s="88" t="e">
        <f t="shared" si="2"/>
        <v>#REF!</v>
      </c>
      <c r="AM38" s="75" t="e">
        <f t="shared" si="3"/>
        <v>#REF!</v>
      </c>
    </row>
    <row r="39" spans="2:39" ht="16.5" thickTop="1" thickBot="1">
      <c r="B39" s="21" t="s">
        <v>1</v>
      </c>
      <c r="C39" s="2" t="s">
        <v>171</v>
      </c>
      <c r="D39" s="23" t="s">
        <v>170</v>
      </c>
      <c r="E39" s="38" t="e">
        <f>'LICENCIAS Y PRODUCTOS 2025-03'!#REF!</f>
        <v>#REF!</v>
      </c>
      <c r="F39" s="38" t="e">
        <f>'LICENCIAS Y PRODUCTOS 2025-03'!#REF!</f>
        <v>#REF!</v>
      </c>
      <c r="G39" s="38" t="e">
        <f>'LICENCIAS Y PRODUCTOS 2025-03'!#REF!</f>
        <v>#REF!</v>
      </c>
      <c r="H39" s="38" t="e">
        <f>'LICENCIAS Y PRODUCTOS 2025-03'!#REF!</f>
        <v>#REF!</v>
      </c>
      <c r="I39" s="38" t="e">
        <f>'LICENCIAS Y PRODUCTOS 2025-03'!#REF!</f>
        <v>#REF!</v>
      </c>
      <c r="J39" s="38" t="e">
        <f>'LICENCIAS Y PRODUCTOS 2025-03'!#REF!</f>
        <v>#REF!</v>
      </c>
      <c r="K39" s="38" t="e">
        <f>'LICENCIAS Y PRODUCTOS 2025-03'!#REF!</f>
        <v>#REF!</v>
      </c>
      <c r="L39" s="38" t="e">
        <f>'LICENCIAS Y PRODUCTOS 2025-03'!#REF!</f>
        <v>#REF!</v>
      </c>
      <c r="M39" s="38" t="e">
        <f>'LICENCIAS Y PRODUCTOS 2025-03'!#REF!</f>
        <v>#REF!</v>
      </c>
      <c r="N39" s="38">
        <f>'LICENCIAS Y PRODUCTOS 2025-03'!E6</f>
        <v>0</v>
      </c>
      <c r="O39" s="38" t="e">
        <f>'LICENCIAS Y PRODUCTOS 2025-03'!#REF!</f>
        <v>#REF!</v>
      </c>
      <c r="P39" s="38" t="e">
        <f>'LICENCIAS Y PRODUCTOS 2025-03'!#REF!</f>
        <v>#REF!</v>
      </c>
      <c r="Q39" s="38" t="e">
        <f>'LICENCIAS Y PRODUCTOS 2025-03'!#REF!</f>
        <v>#REF!</v>
      </c>
      <c r="R39" s="38" t="e">
        <f>'LICENCIAS Y PRODUCTOS 2025-03'!#REF!</f>
        <v>#REF!</v>
      </c>
      <c r="S39" s="38" t="e">
        <f>'LICENCIAS Y PRODUCTOS 2025-03'!#REF!</f>
        <v>#REF!</v>
      </c>
      <c r="T39" s="38" t="e">
        <f>'LICENCIAS Y PRODUCTOS 2025-03'!#REF!</f>
        <v>#REF!</v>
      </c>
      <c r="U39" s="38" t="e">
        <f>'LICENCIAS Y PRODUCTOS 2025-03'!#REF!</f>
        <v>#REF!</v>
      </c>
      <c r="V39" s="38" t="e">
        <f>'LICENCIAS Y PRODUCTOS 2025-03'!#REF!</f>
        <v>#REF!</v>
      </c>
      <c r="W39" s="38" t="e">
        <f>'LICENCIAS Y PRODUCTOS 2025-03'!#REF!</f>
        <v>#REF!</v>
      </c>
      <c r="X39" s="38" t="e">
        <f>'LICENCIAS Y PRODUCTOS 2025-03'!#REF!</f>
        <v>#REF!</v>
      </c>
      <c r="Y39" s="38" t="e">
        <f>'LICENCIAS Y PRODUCTOS 2025-03'!#REF!</f>
        <v>#REF!</v>
      </c>
      <c r="Z39" s="38" t="e">
        <f>'LICENCIAS Y PRODUCTOS 2025-03'!#REF!</f>
        <v>#REF!</v>
      </c>
      <c r="AA39" s="38" t="e">
        <f>'LICENCIAS Y PRODUCTOS 2025-03'!#REF!</f>
        <v>#REF!</v>
      </c>
      <c r="AB39" s="38" t="e">
        <f>'LICENCIAS Y PRODUCTOS 2025-03'!#REF!</f>
        <v>#REF!</v>
      </c>
      <c r="AC39" s="38" t="e">
        <f>'LICENCIAS Y PRODUCTOS 2025-03'!#REF!</f>
        <v>#REF!</v>
      </c>
      <c r="AD39" s="38" t="e">
        <f>'LICENCIAS Y PRODUCTOS 2025-03'!#REF!</f>
        <v>#REF!</v>
      </c>
      <c r="AE39" s="38" t="e">
        <f>'LICENCIAS Y PRODUCTOS 2025-03'!#REF!</f>
        <v>#REF!</v>
      </c>
      <c r="AF39" s="38" t="e">
        <f>'LICENCIAS Y PRODUCTOS 2025-03'!#REF!</f>
        <v>#REF!</v>
      </c>
      <c r="AG39" s="38" t="e">
        <f>'LICENCIAS Y PRODUCTOS 2025-03'!#REF!</f>
        <v>#REF!</v>
      </c>
      <c r="AH39" s="38" t="e">
        <f>'LICENCIAS Y PRODUCTOS 2025-03'!#REF!</f>
        <v>#REF!</v>
      </c>
      <c r="AI39" s="38"/>
      <c r="AJ39" s="88" t="e">
        <f>SUM(E39:AI39)</f>
        <v>#REF!</v>
      </c>
      <c r="AM39" s="75" t="e">
        <f t="shared" si="3"/>
        <v>#REF!</v>
      </c>
    </row>
    <row r="40" spans="2:39" ht="16.5" thickTop="1" thickBot="1">
      <c r="B40" s="21" t="s">
        <v>3</v>
      </c>
      <c r="C40" s="2" t="s">
        <v>4</v>
      </c>
      <c r="D40" s="23" t="s">
        <v>94</v>
      </c>
      <c r="E40" s="38" t="e">
        <f>'LICENCIAS Y PRODUCTOS 2025-03'!#REF!</f>
        <v>#REF!</v>
      </c>
      <c r="F40" s="38" t="e">
        <f>'LICENCIAS Y PRODUCTOS 2025-03'!#REF!</f>
        <v>#REF!</v>
      </c>
      <c r="G40" s="38" t="e">
        <f>'LICENCIAS Y PRODUCTOS 2025-03'!#REF!</f>
        <v>#REF!</v>
      </c>
      <c r="H40" s="38" t="e">
        <f>'LICENCIAS Y PRODUCTOS 2025-03'!#REF!</f>
        <v>#REF!</v>
      </c>
      <c r="I40" s="38" t="e">
        <f>'LICENCIAS Y PRODUCTOS 2025-03'!#REF!</f>
        <v>#REF!</v>
      </c>
      <c r="J40" s="38" t="e">
        <f>'LICENCIAS Y PRODUCTOS 2025-03'!#REF!</f>
        <v>#REF!</v>
      </c>
      <c r="K40" s="38" t="e">
        <f>'LICENCIAS Y PRODUCTOS 2025-03'!#REF!</f>
        <v>#REF!</v>
      </c>
      <c r="L40" s="38" t="e">
        <f>'LICENCIAS Y PRODUCTOS 2025-03'!#REF!</f>
        <v>#REF!</v>
      </c>
      <c r="M40" s="38" t="e">
        <f>'LICENCIAS Y PRODUCTOS 2025-03'!#REF!</f>
        <v>#REF!</v>
      </c>
      <c r="N40" s="38">
        <f>'LICENCIAS Y PRODUCTOS 2025-03'!E7</f>
        <v>37</v>
      </c>
      <c r="O40" s="38" t="e">
        <f>'LICENCIAS Y PRODUCTOS 2025-03'!#REF!</f>
        <v>#REF!</v>
      </c>
      <c r="P40" s="38" t="e">
        <f>'LICENCIAS Y PRODUCTOS 2025-03'!#REF!</f>
        <v>#REF!</v>
      </c>
      <c r="Q40" s="38" t="e">
        <f>'LICENCIAS Y PRODUCTOS 2025-03'!#REF!</f>
        <v>#REF!</v>
      </c>
      <c r="R40" s="38" t="e">
        <f>'LICENCIAS Y PRODUCTOS 2025-03'!#REF!</f>
        <v>#REF!</v>
      </c>
      <c r="S40" s="38" t="e">
        <f>'LICENCIAS Y PRODUCTOS 2025-03'!#REF!</f>
        <v>#REF!</v>
      </c>
      <c r="T40" s="38" t="e">
        <f>'LICENCIAS Y PRODUCTOS 2025-03'!#REF!</f>
        <v>#REF!</v>
      </c>
      <c r="U40" s="38" t="e">
        <f>'LICENCIAS Y PRODUCTOS 2025-03'!#REF!</f>
        <v>#REF!</v>
      </c>
      <c r="V40" s="38" t="e">
        <f>'LICENCIAS Y PRODUCTOS 2025-03'!#REF!</f>
        <v>#REF!</v>
      </c>
      <c r="W40" s="38" t="e">
        <f>'LICENCIAS Y PRODUCTOS 2025-03'!#REF!</f>
        <v>#REF!</v>
      </c>
      <c r="X40" s="38" t="e">
        <f>'LICENCIAS Y PRODUCTOS 2025-03'!#REF!</f>
        <v>#REF!</v>
      </c>
      <c r="Y40" s="38" t="e">
        <f>'LICENCIAS Y PRODUCTOS 2025-03'!#REF!</f>
        <v>#REF!</v>
      </c>
      <c r="Z40" s="38" t="e">
        <f>'LICENCIAS Y PRODUCTOS 2025-03'!#REF!</f>
        <v>#REF!</v>
      </c>
      <c r="AA40" s="38" t="e">
        <f>'LICENCIAS Y PRODUCTOS 2025-03'!#REF!</f>
        <v>#REF!</v>
      </c>
      <c r="AB40" s="38" t="e">
        <f>'LICENCIAS Y PRODUCTOS 2025-03'!#REF!</f>
        <v>#REF!</v>
      </c>
      <c r="AC40" s="38" t="e">
        <f>'LICENCIAS Y PRODUCTOS 2025-03'!#REF!</f>
        <v>#REF!</v>
      </c>
      <c r="AD40" s="38" t="e">
        <f>'LICENCIAS Y PRODUCTOS 2025-03'!#REF!</f>
        <v>#REF!</v>
      </c>
      <c r="AE40" s="38" t="e">
        <f>'LICENCIAS Y PRODUCTOS 2025-03'!#REF!</f>
        <v>#REF!</v>
      </c>
      <c r="AF40" s="38" t="e">
        <f>'LICENCIAS Y PRODUCTOS 2025-03'!#REF!</f>
        <v>#REF!</v>
      </c>
      <c r="AG40" s="38" t="e">
        <f>'LICENCIAS Y PRODUCTOS 2025-03'!#REF!</f>
        <v>#REF!</v>
      </c>
      <c r="AH40" s="38" t="e">
        <f>'LICENCIAS Y PRODUCTOS 2025-03'!#REF!</f>
        <v>#REF!</v>
      </c>
      <c r="AI40" s="38"/>
      <c r="AJ40" s="88" t="e">
        <f t="shared" si="2"/>
        <v>#REF!</v>
      </c>
      <c r="AK40" s="28" t="e">
        <f>SUM(AJ40:AJ46)</f>
        <v>#REF!</v>
      </c>
      <c r="AL40" t="s">
        <v>3</v>
      </c>
      <c r="AM40" s="75" t="e">
        <f t="shared" si="3"/>
        <v>#REF!</v>
      </c>
    </row>
    <row r="41" spans="2:39" ht="16.5" thickTop="1" thickBot="1">
      <c r="B41" s="21" t="s">
        <v>3</v>
      </c>
      <c r="C41" s="2" t="s">
        <v>125</v>
      </c>
      <c r="D41" s="23" t="s">
        <v>95</v>
      </c>
      <c r="E41" s="38" t="e">
        <f>'LICENCIAS Y PRODUCTOS 2025-03'!#REF!</f>
        <v>#REF!</v>
      </c>
      <c r="F41" s="38" t="e">
        <f>'LICENCIAS Y PRODUCTOS 2025-03'!#REF!</f>
        <v>#REF!</v>
      </c>
      <c r="G41" s="38" t="e">
        <f>'LICENCIAS Y PRODUCTOS 2025-03'!#REF!</f>
        <v>#REF!</v>
      </c>
      <c r="H41" s="38" t="e">
        <f>'LICENCIAS Y PRODUCTOS 2025-03'!#REF!</f>
        <v>#REF!</v>
      </c>
      <c r="I41" s="38" t="e">
        <f>'LICENCIAS Y PRODUCTOS 2025-03'!#REF!</f>
        <v>#REF!</v>
      </c>
      <c r="J41" s="38" t="e">
        <f>'LICENCIAS Y PRODUCTOS 2025-03'!#REF!</f>
        <v>#REF!</v>
      </c>
      <c r="K41" s="38" t="e">
        <f>'LICENCIAS Y PRODUCTOS 2025-03'!#REF!</f>
        <v>#REF!</v>
      </c>
      <c r="L41" s="38" t="e">
        <f>'LICENCIAS Y PRODUCTOS 2025-03'!#REF!</f>
        <v>#REF!</v>
      </c>
      <c r="M41" s="38" t="e">
        <f>'LICENCIAS Y PRODUCTOS 2025-03'!#REF!</f>
        <v>#REF!</v>
      </c>
      <c r="N41" s="38">
        <f>'LICENCIAS Y PRODUCTOS 2025-03'!E8</f>
        <v>0</v>
      </c>
      <c r="O41" s="38" t="e">
        <f>'LICENCIAS Y PRODUCTOS 2025-03'!#REF!</f>
        <v>#REF!</v>
      </c>
      <c r="P41" s="38" t="e">
        <f>'LICENCIAS Y PRODUCTOS 2025-03'!#REF!</f>
        <v>#REF!</v>
      </c>
      <c r="Q41" s="38" t="e">
        <f>'LICENCIAS Y PRODUCTOS 2025-03'!#REF!</f>
        <v>#REF!</v>
      </c>
      <c r="R41" s="38" t="e">
        <f>'LICENCIAS Y PRODUCTOS 2025-03'!#REF!</f>
        <v>#REF!</v>
      </c>
      <c r="S41" s="38" t="e">
        <f>'LICENCIAS Y PRODUCTOS 2025-03'!#REF!</f>
        <v>#REF!</v>
      </c>
      <c r="T41" s="38" t="e">
        <f>'LICENCIAS Y PRODUCTOS 2025-03'!#REF!</f>
        <v>#REF!</v>
      </c>
      <c r="U41" s="38" t="e">
        <f>'LICENCIAS Y PRODUCTOS 2025-03'!#REF!</f>
        <v>#REF!</v>
      </c>
      <c r="V41" s="38" t="e">
        <f>'LICENCIAS Y PRODUCTOS 2025-03'!#REF!</f>
        <v>#REF!</v>
      </c>
      <c r="W41" s="38" t="e">
        <f>'LICENCIAS Y PRODUCTOS 2025-03'!#REF!</f>
        <v>#REF!</v>
      </c>
      <c r="X41" s="38" t="e">
        <f>'LICENCIAS Y PRODUCTOS 2025-03'!#REF!</f>
        <v>#REF!</v>
      </c>
      <c r="Y41" s="38" t="e">
        <f>'LICENCIAS Y PRODUCTOS 2025-03'!#REF!</f>
        <v>#REF!</v>
      </c>
      <c r="Z41" s="38" t="e">
        <f>'LICENCIAS Y PRODUCTOS 2025-03'!#REF!</f>
        <v>#REF!</v>
      </c>
      <c r="AA41" s="38" t="e">
        <f>'LICENCIAS Y PRODUCTOS 2025-03'!#REF!</f>
        <v>#REF!</v>
      </c>
      <c r="AB41" s="38" t="e">
        <f>'LICENCIAS Y PRODUCTOS 2025-03'!#REF!</f>
        <v>#REF!</v>
      </c>
      <c r="AC41" s="38" t="e">
        <f>'LICENCIAS Y PRODUCTOS 2025-03'!#REF!</f>
        <v>#REF!</v>
      </c>
      <c r="AD41" s="38" t="e">
        <f>'LICENCIAS Y PRODUCTOS 2025-03'!#REF!</f>
        <v>#REF!</v>
      </c>
      <c r="AE41" s="38" t="e">
        <f>'LICENCIAS Y PRODUCTOS 2025-03'!#REF!</f>
        <v>#REF!</v>
      </c>
      <c r="AF41" s="38" t="e">
        <f>'LICENCIAS Y PRODUCTOS 2025-03'!#REF!</f>
        <v>#REF!</v>
      </c>
      <c r="AG41" s="38" t="e">
        <f>'LICENCIAS Y PRODUCTOS 2025-03'!#REF!</f>
        <v>#REF!</v>
      </c>
      <c r="AH41" s="38" t="e">
        <f>'LICENCIAS Y PRODUCTOS 2025-03'!#REF!</f>
        <v>#REF!</v>
      </c>
      <c r="AI41" s="38"/>
      <c r="AJ41" s="88" t="e">
        <f t="shared" si="2"/>
        <v>#REF!</v>
      </c>
      <c r="AM41" s="75" t="e">
        <f t="shared" si="3"/>
        <v>#REF!</v>
      </c>
    </row>
    <row r="42" spans="2:39" ht="16.5" thickTop="1" thickBot="1">
      <c r="B42" s="21" t="s">
        <v>3</v>
      </c>
      <c r="C42" s="2" t="s">
        <v>126</v>
      </c>
      <c r="D42" s="23" t="s">
        <v>96</v>
      </c>
      <c r="E42" s="38" t="e">
        <f>'LICENCIAS Y PRODUCTOS 2025-03'!#REF!</f>
        <v>#REF!</v>
      </c>
      <c r="F42" s="38" t="e">
        <f>'LICENCIAS Y PRODUCTOS 2025-03'!#REF!</f>
        <v>#REF!</v>
      </c>
      <c r="G42" s="38" t="e">
        <f>'LICENCIAS Y PRODUCTOS 2025-03'!#REF!</f>
        <v>#REF!</v>
      </c>
      <c r="H42" s="38" t="e">
        <f>'LICENCIAS Y PRODUCTOS 2025-03'!#REF!</f>
        <v>#REF!</v>
      </c>
      <c r="I42" s="38" t="e">
        <f>'LICENCIAS Y PRODUCTOS 2025-03'!#REF!</f>
        <v>#REF!</v>
      </c>
      <c r="J42" s="38" t="e">
        <f>'LICENCIAS Y PRODUCTOS 2025-03'!#REF!</f>
        <v>#REF!</v>
      </c>
      <c r="K42" s="38" t="e">
        <f>'LICENCIAS Y PRODUCTOS 2025-03'!#REF!</f>
        <v>#REF!</v>
      </c>
      <c r="L42" s="38" t="e">
        <f>'LICENCIAS Y PRODUCTOS 2025-03'!#REF!</f>
        <v>#REF!</v>
      </c>
      <c r="M42" s="38" t="e">
        <f>'LICENCIAS Y PRODUCTOS 2025-03'!#REF!</f>
        <v>#REF!</v>
      </c>
      <c r="N42" s="38">
        <f>'LICENCIAS Y PRODUCTOS 2025-03'!E9</f>
        <v>0</v>
      </c>
      <c r="O42" s="38" t="e">
        <f>'LICENCIAS Y PRODUCTOS 2025-03'!#REF!</f>
        <v>#REF!</v>
      </c>
      <c r="P42" s="38" t="e">
        <f>'LICENCIAS Y PRODUCTOS 2025-03'!#REF!</f>
        <v>#REF!</v>
      </c>
      <c r="Q42" s="38" t="e">
        <f>'LICENCIAS Y PRODUCTOS 2025-03'!#REF!</f>
        <v>#REF!</v>
      </c>
      <c r="R42" s="38" t="e">
        <f>'LICENCIAS Y PRODUCTOS 2025-03'!#REF!</f>
        <v>#REF!</v>
      </c>
      <c r="S42" s="38" t="e">
        <f>'LICENCIAS Y PRODUCTOS 2025-03'!#REF!</f>
        <v>#REF!</v>
      </c>
      <c r="T42" s="38" t="e">
        <f>'LICENCIAS Y PRODUCTOS 2025-03'!#REF!</f>
        <v>#REF!</v>
      </c>
      <c r="U42" s="38" t="e">
        <f>'LICENCIAS Y PRODUCTOS 2025-03'!#REF!</f>
        <v>#REF!</v>
      </c>
      <c r="V42" s="38" t="e">
        <f>'LICENCIAS Y PRODUCTOS 2025-03'!#REF!</f>
        <v>#REF!</v>
      </c>
      <c r="W42" s="38" t="e">
        <f>'LICENCIAS Y PRODUCTOS 2025-03'!#REF!</f>
        <v>#REF!</v>
      </c>
      <c r="X42" s="38" t="e">
        <f>'LICENCIAS Y PRODUCTOS 2025-03'!#REF!</f>
        <v>#REF!</v>
      </c>
      <c r="Y42" s="38" t="e">
        <f>'LICENCIAS Y PRODUCTOS 2025-03'!#REF!</f>
        <v>#REF!</v>
      </c>
      <c r="Z42" s="38" t="e">
        <f>'LICENCIAS Y PRODUCTOS 2025-03'!#REF!</f>
        <v>#REF!</v>
      </c>
      <c r="AA42" s="38" t="e">
        <f>'LICENCIAS Y PRODUCTOS 2025-03'!#REF!</f>
        <v>#REF!</v>
      </c>
      <c r="AB42" s="38" t="e">
        <f>'LICENCIAS Y PRODUCTOS 2025-03'!#REF!</f>
        <v>#REF!</v>
      </c>
      <c r="AC42" s="38" t="e">
        <f>'LICENCIAS Y PRODUCTOS 2025-03'!#REF!</f>
        <v>#REF!</v>
      </c>
      <c r="AD42" s="38" t="e">
        <f>'LICENCIAS Y PRODUCTOS 2025-03'!#REF!</f>
        <v>#REF!</v>
      </c>
      <c r="AE42" s="38" t="e">
        <f>'LICENCIAS Y PRODUCTOS 2025-03'!#REF!</f>
        <v>#REF!</v>
      </c>
      <c r="AF42" s="38" t="e">
        <f>'LICENCIAS Y PRODUCTOS 2025-03'!#REF!</f>
        <v>#REF!</v>
      </c>
      <c r="AG42" s="38" t="e">
        <f>'LICENCIAS Y PRODUCTOS 2025-03'!#REF!</f>
        <v>#REF!</v>
      </c>
      <c r="AH42" s="38" t="e">
        <f>'LICENCIAS Y PRODUCTOS 2025-03'!#REF!</f>
        <v>#REF!</v>
      </c>
      <c r="AI42" s="38"/>
      <c r="AJ42" s="88" t="e">
        <f t="shared" si="2"/>
        <v>#REF!</v>
      </c>
      <c r="AM42" s="75" t="e">
        <f t="shared" si="3"/>
        <v>#REF!</v>
      </c>
    </row>
    <row r="43" spans="2:39" ht="16.5" thickTop="1" thickBot="1">
      <c r="B43" s="21" t="s">
        <v>3</v>
      </c>
      <c r="C43" s="2" t="s">
        <v>6</v>
      </c>
      <c r="D43" s="23" t="s">
        <v>97</v>
      </c>
      <c r="E43" s="38" t="e">
        <f>'LICENCIAS Y PRODUCTOS 2025-03'!#REF!</f>
        <v>#REF!</v>
      </c>
      <c r="F43" s="38" t="e">
        <f>'LICENCIAS Y PRODUCTOS 2025-03'!#REF!</f>
        <v>#REF!</v>
      </c>
      <c r="G43" s="38" t="e">
        <f>'LICENCIAS Y PRODUCTOS 2025-03'!#REF!</f>
        <v>#REF!</v>
      </c>
      <c r="H43" s="38" t="e">
        <f>'LICENCIAS Y PRODUCTOS 2025-03'!#REF!</f>
        <v>#REF!</v>
      </c>
      <c r="I43" s="38" t="e">
        <f>'LICENCIAS Y PRODUCTOS 2025-03'!#REF!</f>
        <v>#REF!</v>
      </c>
      <c r="J43" s="38" t="e">
        <f>'LICENCIAS Y PRODUCTOS 2025-03'!#REF!</f>
        <v>#REF!</v>
      </c>
      <c r="K43" s="38" t="e">
        <f>'LICENCIAS Y PRODUCTOS 2025-03'!#REF!</f>
        <v>#REF!</v>
      </c>
      <c r="L43" s="38" t="e">
        <f>'LICENCIAS Y PRODUCTOS 2025-03'!#REF!</f>
        <v>#REF!</v>
      </c>
      <c r="M43" s="38" t="e">
        <f>'LICENCIAS Y PRODUCTOS 2025-03'!#REF!</f>
        <v>#REF!</v>
      </c>
      <c r="N43" s="38">
        <f>'LICENCIAS Y PRODUCTOS 2025-03'!E10</f>
        <v>4</v>
      </c>
      <c r="O43" s="38" t="e">
        <f>'LICENCIAS Y PRODUCTOS 2025-03'!#REF!</f>
        <v>#REF!</v>
      </c>
      <c r="P43" s="38" t="e">
        <f>'LICENCIAS Y PRODUCTOS 2025-03'!#REF!</f>
        <v>#REF!</v>
      </c>
      <c r="Q43" s="38" t="e">
        <f>'LICENCIAS Y PRODUCTOS 2025-03'!#REF!</f>
        <v>#REF!</v>
      </c>
      <c r="R43" s="38" t="e">
        <f>'LICENCIAS Y PRODUCTOS 2025-03'!#REF!</f>
        <v>#REF!</v>
      </c>
      <c r="S43" s="38" t="e">
        <f>'LICENCIAS Y PRODUCTOS 2025-03'!#REF!</f>
        <v>#REF!</v>
      </c>
      <c r="T43" s="38" t="e">
        <f>'LICENCIAS Y PRODUCTOS 2025-03'!#REF!</f>
        <v>#REF!</v>
      </c>
      <c r="U43" s="38" t="e">
        <f>'LICENCIAS Y PRODUCTOS 2025-03'!#REF!</f>
        <v>#REF!</v>
      </c>
      <c r="V43" s="38" t="e">
        <f>'LICENCIAS Y PRODUCTOS 2025-03'!#REF!</f>
        <v>#REF!</v>
      </c>
      <c r="W43" s="38" t="e">
        <f>'LICENCIAS Y PRODUCTOS 2025-03'!#REF!</f>
        <v>#REF!</v>
      </c>
      <c r="X43" s="38" t="e">
        <f>'LICENCIAS Y PRODUCTOS 2025-03'!#REF!</f>
        <v>#REF!</v>
      </c>
      <c r="Y43" s="38" t="e">
        <f>'LICENCIAS Y PRODUCTOS 2025-03'!#REF!</f>
        <v>#REF!</v>
      </c>
      <c r="Z43" s="38" t="e">
        <f>'LICENCIAS Y PRODUCTOS 2025-03'!#REF!</f>
        <v>#REF!</v>
      </c>
      <c r="AA43" s="38" t="e">
        <f>'LICENCIAS Y PRODUCTOS 2025-03'!#REF!</f>
        <v>#REF!</v>
      </c>
      <c r="AB43" s="38" t="e">
        <f>'LICENCIAS Y PRODUCTOS 2025-03'!#REF!</f>
        <v>#REF!</v>
      </c>
      <c r="AC43" s="38" t="e">
        <f>'LICENCIAS Y PRODUCTOS 2025-03'!#REF!</f>
        <v>#REF!</v>
      </c>
      <c r="AD43" s="38" t="e">
        <f>'LICENCIAS Y PRODUCTOS 2025-03'!#REF!</f>
        <v>#REF!</v>
      </c>
      <c r="AE43" s="38" t="e">
        <f>'LICENCIAS Y PRODUCTOS 2025-03'!#REF!</f>
        <v>#REF!</v>
      </c>
      <c r="AF43" s="38" t="e">
        <f>'LICENCIAS Y PRODUCTOS 2025-03'!#REF!</f>
        <v>#REF!</v>
      </c>
      <c r="AG43" s="38" t="e">
        <f>'LICENCIAS Y PRODUCTOS 2025-03'!#REF!</f>
        <v>#REF!</v>
      </c>
      <c r="AH43" s="38" t="e">
        <f>'LICENCIAS Y PRODUCTOS 2025-03'!#REF!</f>
        <v>#REF!</v>
      </c>
      <c r="AI43" s="38"/>
      <c r="AJ43" s="88" t="e">
        <f t="shared" si="2"/>
        <v>#REF!</v>
      </c>
      <c r="AM43" s="75" t="e">
        <f t="shared" si="3"/>
        <v>#REF!</v>
      </c>
    </row>
    <row r="44" spans="2:39" ht="16.5" thickTop="1" thickBot="1">
      <c r="B44" s="21" t="s">
        <v>3</v>
      </c>
      <c r="C44" s="2" t="s">
        <v>7</v>
      </c>
      <c r="D44" s="23" t="s">
        <v>98</v>
      </c>
      <c r="E44" s="38" t="e">
        <f>'LICENCIAS Y PRODUCTOS 2025-03'!#REF!</f>
        <v>#REF!</v>
      </c>
      <c r="F44" s="38" t="e">
        <f>'LICENCIAS Y PRODUCTOS 2025-03'!#REF!</f>
        <v>#REF!</v>
      </c>
      <c r="G44" s="38" t="e">
        <f>'LICENCIAS Y PRODUCTOS 2025-03'!#REF!</f>
        <v>#REF!</v>
      </c>
      <c r="H44" s="38" t="e">
        <f>'LICENCIAS Y PRODUCTOS 2025-03'!#REF!</f>
        <v>#REF!</v>
      </c>
      <c r="I44" s="38" t="e">
        <f>'LICENCIAS Y PRODUCTOS 2025-03'!#REF!</f>
        <v>#REF!</v>
      </c>
      <c r="J44" s="38" t="e">
        <f>'LICENCIAS Y PRODUCTOS 2025-03'!#REF!</f>
        <v>#REF!</v>
      </c>
      <c r="K44" s="38" t="e">
        <f>'LICENCIAS Y PRODUCTOS 2025-03'!#REF!</f>
        <v>#REF!</v>
      </c>
      <c r="L44" s="38" t="e">
        <f>'LICENCIAS Y PRODUCTOS 2025-03'!#REF!</f>
        <v>#REF!</v>
      </c>
      <c r="M44" s="38" t="e">
        <f>'LICENCIAS Y PRODUCTOS 2025-03'!#REF!</f>
        <v>#REF!</v>
      </c>
      <c r="N44" s="38">
        <f>'LICENCIAS Y PRODUCTOS 2025-03'!E11</f>
        <v>1</v>
      </c>
      <c r="O44" s="38" t="e">
        <f>'LICENCIAS Y PRODUCTOS 2025-03'!#REF!</f>
        <v>#REF!</v>
      </c>
      <c r="P44" s="38" t="e">
        <f>'LICENCIAS Y PRODUCTOS 2025-03'!#REF!</f>
        <v>#REF!</v>
      </c>
      <c r="Q44" s="38" t="e">
        <f>'LICENCIAS Y PRODUCTOS 2025-03'!#REF!</f>
        <v>#REF!</v>
      </c>
      <c r="R44" s="38" t="e">
        <f>'LICENCIAS Y PRODUCTOS 2025-03'!#REF!</f>
        <v>#REF!</v>
      </c>
      <c r="S44" s="38" t="e">
        <f>'LICENCIAS Y PRODUCTOS 2025-03'!#REF!</f>
        <v>#REF!</v>
      </c>
      <c r="T44" s="38" t="e">
        <f>'LICENCIAS Y PRODUCTOS 2025-03'!#REF!</f>
        <v>#REF!</v>
      </c>
      <c r="U44" s="38" t="e">
        <f>'LICENCIAS Y PRODUCTOS 2025-03'!#REF!</f>
        <v>#REF!</v>
      </c>
      <c r="V44" s="38" t="e">
        <f>'LICENCIAS Y PRODUCTOS 2025-03'!#REF!</f>
        <v>#REF!</v>
      </c>
      <c r="W44" s="38" t="e">
        <f>'LICENCIAS Y PRODUCTOS 2025-03'!#REF!</f>
        <v>#REF!</v>
      </c>
      <c r="X44" s="38" t="e">
        <f>'LICENCIAS Y PRODUCTOS 2025-03'!#REF!</f>
        <v>#REF!</v>
      </c>
      <c r="Y44" s="38" t="e">
        <f>'LICENCIAS Y PRODUCTOS 2025-03'!#REF!</f>
        <v>#REF!</v>
      </c>
      <c r="Z44" s="38" t="e">
        <f>'LICENCIAS Y PRODUCTOS 2025-03'!#REF!</f>
        <v>#REF!</v>
      </c>
      <c r="AA44" s="38" t="e">
        <f>'LICENCIAS Y PRODUCTOS 2025-03'!#REF!</f>
        <v>#REF!</v>
      </c>
      <c r="AB44" s="38" t="e">
        <f>'LICENCIAS Y PRODUCTOS 2025-03'!#REF!</f>
        <v>#REF!</v>
      </c>
      <c r="AC44" s="38" t="e">
        <f>'LICENCIAS Y PRODUCTOS 2025-03'!#REF!</f>
        <v>#REF!</v>
      </c>
      <c r="AD44" s="38" t="e">
        <f>'LICENCIAS Y PRODUCTOS 2025-03'!#REF!</f>
        <v>#REF!</v>
      </c>
      <c r="AE44" s="38" t="e">
        <f>'LICENCIAS Y PRODUCTOS 2025-03'!#REF!</f>
        <v>#REF!</v>
      </c>
      <c r="AF44" s="38" t="e">
        <f>'LICENCIAS Y PRODUCTOS 2025-03'!#REF!</f>
        <v>#REF!</v>
      </c>
      <c r="AG44" s="38" t="e">
        <f>'LICENCIAS Y PRODUCTOS 2025-03'!#REF!</f>
        <v>#REF!</v>
      </c>
      <c r="AH44" s="38" t="e">
        <f>'LICENCIAS Y PRODUCTOS 2025-03'!#REF!</f>
        <v>#REF!</v>
      </c>
      <c r="AI44" s="38"/>
      <c r="AJ44" s="88" t="e">
        <f t="shared" si="2"/>
        <v>#REF!</v>
      </c>
      <c r="AM44" s="75" t="e">
        <f t="shared" si="3"/>
        <v>#REF!</v>
      </c>
    </row>
    <row r="45" spans="2:39" ht="16.149999999999999" customHeight="1" thickTop="1" thickBot="1">
      <c r="B45" s="21" t="s">
        <v>3</v>
      </c>
      <c r="C45" s="2" t="s">
        <v>8</v>
      </c>
      <c r="D45" s="23" t="s">
        <v>99</v>
      </c>
      <c r="E45" s="38" t="e">
        <f>'LICENCIAS Y PRODUCTOS 2025-03'!#REF!</f>
        <v>#REF!</v>
      </c>
      <c r="F45" s="38" t="e">
        <f>'LICENCIAS Y PRODUCTOS 2025-03'!#REF!</f>
        <v>#REF!</v>
      </c>
      <c r="G45" s="38" t="e">
        <f>'LICENCIAS Y PRODUCTOS 2025-03'!#REF!</f>
        <v>#REF!</v>
      </c>
      <c r="H45" s="38" t="e">
        <f>'LICENCIAS Y PRODUCTOS 2025-03'!#REF!</f>
        <v>#REF!</v>
      </c>
      <c r="I45" s="38" t="e">
        <f>'LICENCIAS Y PRODUCTOS 2025-03'!#REF!</f>
        <v>#REF!</v>
      </c>
      <c r="J45" s="38" t="e">
        <f>'LICENCIAS Y PRODUCTOS 2025-03'!#REF!</f>
        <v>#REF!</v>
      </c>
      <c r="K45" s="38" t="e">
        <f>'LICENCIAS Y PRODUCTOS 2025-03'!#REF!</f>
        <v>#REF!</v>
      </c>
      <c r="L45" s="38" t="e">
        <f>'LICENCIAS Y PRODUCTOS 2025-03'!#REF!</f>
        <v>#REF!</v>
      </c>
      <c r="M45" s="38" t="e">
        <f>'LICENCIAS Y PRODUCTOS 2025-03'!#REF!</f>
        <v>#REF!</v>
      </c>
      <c r="N45" s="38">
        <f>'LICENCIAS Y PRODUCTOS 2025-03'!E12</f>
        <v>1</v>
      </c>
      <c r="O45" s="38" t="e">
        <f>'LICENCIAS Y PRODUCTOS 2025-03'!#REF!</f>
        <v>#REF!</v>
      </c>
      <c r="P45" s="38" t="e">
        <f>'LICENCIAS Y PRODUCTOS 2025-03'!#REF!</f>
        <v>#REF!</v>
      </c>
      <c r="Q45" s="38" t="e">
        <f>'LICENCIAS Y PRODUCTOS 2025-03'!#REF!</f>
        <v>#REF!</v>
      </c>
      <c r="R45" s="38" t="e">
        <f>'LICENCIAS Y PRODUCTOS 2025-03'!#REF!</f>
        <v>#REF!</v>
      </c>
      <c r="S45" s="38" t="e">
        <f>'LICENCIAS Y PRODUCTOS 2025-03'!#REF!</f>
        <v>#REF!</v>
      </c>
      <c r="T45" s="38" t="e">
        <f>'LICENCIAS Y PRODUCTOS 2025-03'!#REF!</f>
        <v>#REF!</v>
      </c>
      <c r="U45" s="38" t="e">
        <f>'LICENCIAS Y PRODUCTOS 2025-03'!#REF!</f>
        <v>#REF!</v>
      </c>
      <c r="V45" s="38" t="e">
        <f>'LICENCIAS Y PRODUCTOS 2025-03'!#REF!</f>
        <v>#REF!</v>
      </c>
      <c r="W45" s="38" t="e">
        <f>'LICENCIAS Y PRODUCTOS 2025-03'!#REF!</f>
        <v>#REF!</v>
      </c>
      <c r="X45" s="38" t="e">
        <f>'LICENCIAS Y PRODUCTOS 2025-03'!#REF!</f>
        <v>#REF!</v>
      </c>
      <c r="Y45" s="38" t="e">
        <f>'LICENCIAS Y PRODUCTOS 2025-03'!#REF!</f>
        <v>#REF!</v>
      </c>
      <c r="Z45" s="38" t="e">
        <f>'LICENCIAS Y PRODUCTOS 2025-03'!#REF!</f>
        <v>#REF!</v>
      </c>
      <c r="AA45" s="38" t="e">
        <f>'LICENCIAS Y PRODUCTOS 2025-03'!#REF!</f>
        <v>#REF!</v>
      </c>
      <c r="AB45" s="38" t="e">
        <f>'LICENCIAS Y PRODUCTOS 2025-03'!#REF!</f>
        <v>#REF!</v>
      </c>
      <c r="AC45" s="38" t="e">
        <f>'LICENCIAS Y PRODUCTOS 2025-03'!#REF!</f>
        <v>#REF!</v>
      </c>
      <c r="AD45" s="38" t="e">
        <f>'LICENCIAS Y PRODUCTOS 2025-03'!#REF!</f>
        <v>#REF!</v>
      </c>
      <c r="AE45" s="38" t="e">
        <f>'LICENCIAS Y PRODUCTOS 2025-03'!#REF!</f>
        <v>#REF!</v>
      </c>
      <c r="AF45" s="38" t="e">
        <f>'LICENCIAS Y PRODUCTOS 2025-03'!#REF!</f>
        <v>#REF!</v>
      </c>
      <c r="AG45" s="38" t="e">
        <f>'LICENCIAS Y PRODUCTOS 2025-03'!#REF!</f>
        <v>#REF!</v>
      </c>
      <c r="AH45" s="38" t="e">
        <f>'LICENCIAS Y PRODUCTOS 2025-03'!#REF!</f>
        <v>#REF!</v>
      </c>
      <c r="AI45" s="38"/>
      <c r="AJ45" s="88" t="e">
        <f t="shared" si="2"/>
        <v>#REF!</v>
      </c>
      <c r="AM45" s="75" t="e">
        <f t="shared" si="3"/>
        <v>#REF!</v>
      </c>
    </row>
    <row r="46" spans="2:39" ht="16.5" thickTop="1" thickBot="1">
      <c r="B46" s="21" t="s">
        <v>3</v>
      </c>
      <c r="C46" s="24" t="s">
        <v>124</v>
      </c>
      <c r="D46" s="25" t="s">
        <v>116</v>
      </c>
      <c r="E46" s="38" t="e">
        <f>'LICENCIAS Y PRODUCTOS 2025-03'!#REF!</f>
        <v>#REF!</v>
      </c>
      <c r="F46" s="38" t="e">
        <f>'LICENCIAS Y PRODUCTOS 2025-03'!#REF!</f>
        <v>#REF!</v>
      </c>
      <c r="G46" s="38" t="e">
        <f>'LICENCIAS Y PRODUCTOS 2025-03'!#REF!</f>
        <v>#REF!</v>
      </c>
      <c r="H46" s="38" t="e">
        <f>'LICENCIAS Y PRODUCTOS 2025-03'!#REF!</f>
        <v>#REF!</v>
      </c>
      <c r="I46" s="38" t="e">
        <f>'LICENCIAS Y PRODUCTOS 2025-03'!#REF!</f>
        <v>#REF!</v>
      </c>
      <c r="J46" s="38" t="e">
        <f>'LICENCIAS Y PRODUCTOS 2025-03'!#REF!</f>
        <v>#REF!</v>
      </c>
      <c r="K46" s="38" t="e">
        <f>'LICENCIAS Y PRODUCTOS 2025-03'!#REF!</f>
        <v>#REF!</v>
      </c>
      <c r="L46" s="38" t="e">
        <f>'LICENCIAS Y PRODUCTOS 2025-03'!#REF!</f>
        <v>#REF!</v>
      </c>
      <c r="M46" s="38" t="e">
        <f>'LICENCIAS Y PRODUCTOS 2025-03'!#REF!</f>
        <v>#REF!</v>
      </c>
      <c r="N46" s="38">
        <f>'LICENCIAS Y PRODUCTOS 2025-03'!E13</f>
        <v>0</v>
      </c>
      <c r="O46" s="38" t="e">
        <f>'LICENCIAS Y PRODUCTOS 2025-03'!#REF!</f>
        <v>#REF!</v>
      </c>
      <c r="P46" s="38" t="e">
        <f>'LICENCIAS Y PRODUCTOS 2025-03'!#REF!</f>
        <v>#REF!</v>
      </c>
      <c r="Q46" s="38" t="e">
        <f>'LICENCIAS Y PRODUCTOS 2025-03'!#REF!</f>
        <v>#REF!</v>
      </c>
      <c r="R46" s="38" t="e">
        <f>'LICENCIAS Y PRODUCTOS 2025-03'!#REF!</f>
        <v>#REF!</v>
      </c>
      <c r="S46" s="38" t="e">
        <f>'LICENCIAS Y PRODUCTOS 2025-03'!#REF!</f>
        <v>#REF!</v>
      </c>
      <c r="T46" s="38" t="e">
        <f>'LICENCIAS Y PRODUCTOS 2025-03'!#REF!</f>
        <v>#REF!</v>
      </c>
      <c r="U46" s="38" t="e">
        <f>'LICENCIAS Y PRODUCTOS 2025-03'!#REF!</f>
        <v>#REF!</v>
      </c>
      <c r="V46" s="38" t="e">
        <f>'LICENCIAS Y PRODUCTOS 2025-03'!#REF!</f>
        <v>#REF!</v>
      </c>
      <c r="W46" s="38" t="e">
        <f>'LICENCIAS Y PRODUCTOS 2025-03'!#REF!</f>
        <v>#REF!</v>
      </c>
      <c r="X46" s="38" t="e">
        <f>'LICENCIAS Y PRODUCTOS 2025-03'!#REF!</f>
        <v>#REF!</v>
      </c>
      <c r="Y46" s="38" t="e">
        <f>'LICENCIAS Y PRODUCTOS 2025-03'!#REF!</f>
        <v>#REF!</v>
      </c>
      <c r="Z46" s="38" t="e">
        <f>'LICENCIAS Y PRODUCTOS 2025-03'!#REF!</f>
        <v>#REF!</v>
      </c>
      <c r="AA46" s="38" t="e">
        <f>'LICENCIAS Y PRODUCTOS 2025-03'!#REF!</f>
        <v>#REF!</v>
      </c>
      <c r="AB46" s="38" t="e">
        <f>'LICENCIAS Y PRODUCTOS 2025-03'!#REF!</f>
        <v>#REF!</v>
      </c>
      <c r="AC46" s="38" t="e">
        <f>'LICENCIAS Y PRODUCTOS 2025-03'!#REF!</f>
        <v>#REF!</v>
      </c>
      <c r="AD46" s="38" t="e">
        <f>'LICENCIAS Y PRODUCTOS 2025-03'!#REF!</f>
        <v>#REF!</v>
      </c>
      <c r="AE46" s="38" t="e">
        <f>'LICENCIAS Y PRODUCTOS 2025-03'!#REF!</f>
        <v>#REF!</v>
      </c>
      <c r="AF46" s="38" t="e">
        <f>'LICENCIAS Y PRODUCTOS 2025-03'!#REF!</f>
        <v>#REF!</v>
      </c>
      <c r="AG46" s="38" t="e">
        <f>'LICENCIAS Y PRODUCTOS 2025-03'!#REF!</f>
        <v>#REF!</v>
      </c>
      <c r="AH46" s="38" t="e">
        <f>'LICENCIAS Y PRODUCTOS 2025-03'!#REF!</f>
        <v>#REF!</v>
      </c>
      <c r="AI46" s="38"/>
      <c r="AJ46" s="88" t="e">
        <f t="shared" si="2"/>
        <v>#REF!</v>
      </c>
      <c r="AM46" s="75" t="e">
        <f t="shared" si="3"/>
        <v>#REF!</v>
      </c>
    </row>
    <row r="47" spans="2:39" ht="16.5" thickTop="1" thickBot="1">
      <c r="B47" s="21" t="s">
        <v>9</v>
      </c>
      <c r="C47" s="2" t="s">
        <v>10</v>
      </c>
      <c r="D47" s="23" t="s">
        <v>100</v>
      </c>
      <c r="E47" s="38" t="e">
        <f>'LICENCIAS Y PRODUCTOS 2025-03'!#REF!</f>
        <v>#REF!</v>
      </c>
      <c r="F47" s="38" t="e">
        <f>'LICENCIAS Y PRODUCTOS 2025-03'!#REF!</f>
        <v>#REF!</v>
      </c>
      <c r="G47" s="38" t="e">
        <f>'LICENCIAS Y PRODUCTOS 2025-03'!#REF!</f>
        <v>#REF!</v>
      </c>
      <c r="H47" s="38" t="e">
        <f>'LICENCIAS Y PRODUCTOS 2025-03'!#REF!</f>
        <v>#REF!</v>
      </c>
      <c r="I47" s="38" t="e">
        <f>'LICENCIAS Y PRODUCTOS 2025-03'!#REF!</f>
        <v>#REF!</v>
      </c>
      <c r="J47" s="38" t="e">
        <f>'LICENCIAS Y PRODUCTOS 2025-03'!#REF!</f>
        <v>#REF!</v>
      </c>
      <c r="K47" s="38" t="e">
        <f>'LICENCIAS Y PRODUCTOS 2025-03'!#REF!</f>
        <v>#REF!</v>
      </c>
      <c r="L47" s="38" t="e">
        <f>'LICENCIAS Y PRODUCTOS 2025-03'!#REF!</f>
        <v>#REF!</v>
      </c>
      <c r="M47" s="38" t="e">
        <f>'LICENCIAS Y PRODUCTOS 2025-03'!#REF!</f>
        <v>#REF!</v>
      </c>
      <c r="N47" s="38">
        <f>'LICENCIAS Y PRODUCTOS 2025-03'!E14</f>
        <v>0</v>
      </c>
      <c r="O47" s="38" t="e">
        <f>'LICENCIAS Y PRODUCTOS 2025-03'!#REF!</f>
        <v>#REF!</v>
      </c>
      <c r="P47" s="38" t="e">
        <f>'LICENCIAS Y PRODUCTOS 2025-03'!#REF!</f>
        <v>#REF!</v>
      </c>
      <c r="Q47" s="38" t="e">
        <f>'LICENCIAS Y PRODUCTOS 2025-03'!#REF!</f>
        <v>#REF!</v>
      </c>
      <c r="R47" s="38" t="e">
        <f>'LICENCIAS Y PRODUCTOS 2025-03'!#REF!</f>
        <v>#REF!</v>
      </c>
      <c r="S47" s="38" t="e">
        <f>'LICENCIAS Y PRODUCTOS 2025-03'!#REF!</f>
        <v>#REF!</v>
      </c>
      <c r="T47" s="38" t="e">
        <f>'LICENCIAS Y PRODUCTOS 2025-03'!#REF!</f>
        <v>#REF!</v>
      </c>
      <c r="U47" s="38" t="e">
        <f>'LICENCIAS Y PRODUCTOS 2025-03'!#REF!</f>
        <v>#REF!</v>
      </c>
      <c r="V47" s="38" t="e">
        <f>'LICENCIAS Y PRODUCTOS 2025-03'!#REF!</f>
        <v>#REF!</v>
      </c>
      <c r="W47" s="38" t="e">
        <f>'LICENCIAS Y PRODUCTOS 2025-03'!#REF!</f>
        <v>#REF!</v>
      </c>
      <c r="X47" s="38" t="e">
        <f>'LICENCIAS Y PRODUCTOS 2025-03'!#REF!</f>
        <v>#REF!</v>
      </c>
      <c r="Y47" s="38" t="e">
        <f>'LICENCIAS Y PRODUCTOS 2025-03'!#REF!</f>
        <v>#REF!</v>
      </c>
      <c r="Z47" s="38" t="e">
        <f>'LICENCIAS Y PRODUCTOS 2025-03'!#REF!</f>
        <v>#REF!</v>
      </c>
      <c r="AA47" s="38" t="e">
        <f>'LICENCIAS Y PRODUCTOS 2025-03'!#REF!</f>
        <v>#REF!</v>
      </c>
      <c r="AB47" s="38" t="e">
        <f>'LICENCIAS Y PRODUCTOS 2025-03'!#REF!</f>
        <v>#REF!</v>
      </c>
      <c r="AC47" s="38" t="e">
        <f>'LICENCIAS Y PRODUCTOS 2025-03'!#REF!</f>
        <v>#REF!</v>
      </c>
      <c r="AD47" s="38" t="e">
        <f>'LICENCIAS Y PRODUCTOS 2025-03'!#REF!</f>
        <v>#REF!</v>
      </c>
      <c r="AE47" s="38" t="e">
        <f>'LICENCIAS Y PRODUCTOS 2025-03'!#REF!</f>
        <v>#REF!</v>
      </c>
      <c r="AF47" s="38" t="e">
        <f>'LICENCIAS Y PRODUCTOS 2025-03'!#REF!</f>
        <v>#REF!</v>
      </c>
      <c r="AG47" s="38" t="e">
        <f>'LICENCIAS Y PRODUCTOS 2025-03'!#REF!</f>
        <v>#REF!</v>
      </c>
      <c r="AH47" s="38" t="e">
        <f>'LICENCIAS Y PRODUCTOS 2025-03'!#REF!</f>
        <v>#REF!</v>
      </c>
      <c r="AI47" s="38"/>
      <c r="AJ47" s="88" t="e">
        <f t="shared" si="2"/>
        <v>#REF!</v>
      </c>
      <c r="AK47" s="28" t="e">
        <f>SUM(AJ47:AJ48)</f>
        <v>#REF!</v>
      </c>
      <c r="AL47" t="s">
        <v>9</v>
      </c>
      <c r="AM47" s="75" t="e">
        <f t="shared" si="3"/>
        <v>#REF!</v>
      </c>
    </row>
    <row r="48" spans="2:39" ht="16.5" thickTop="1" thickBot="1">
      <c r="B48" s="21" t="s">
        <v>9</v>
      </c>
      <c r="C48" s="2" t="s">
        <v>11</v>
      </c>
      <c r="D48" s="23" t="s">
        <v>101</v>
      </c>
      <c r="E48" s="38" t="e">
        <f>'LICENCIAS Y PRODUCTOS 2025-03'!#REF!</f>
        <v>#REF!</v>
      </c>
      <c r="F48" s="38" t="e">
        <f>'LICENCIAS Y PRODUCTOS 2025-03'!#REF!</f>
        <v>#REF!</v>
      </c>
      <c r="G48" s="38" t="e">
        <f>'LICENCIAS Y PRODUCTOS 2025-03'!#REF!</f>
        <v>#REF!</v>
      </c>
      <c r="H48" s="38" t="e">
        <f>'LICENCIAS Y PRODUCTOS 2025-03'!#REF!</f>
        <v>#REF!</v>
      </c>
      <c r="I48" s="38" t="e">
        <f>'LICENCIAS Y PRODUCTOS 2025-03'!#REF!</f>
        <v>#REF!</v>
      </c>
      <c r="J48" s="38" t="e">
        <f>'LICENCIAS Y PRODUCTOS 2025-03'!#REF!</f>
        <v>#REF!</v>
      </c>
      <c r="K48" s="38" t="e">
        <f>'LICENCIAS Y PRODUCTOS 2025-03'!#REF!</f>
        <v>#REF!</v>
      </c>
      <c r="L48" s="38" t="e">
        <f>'LICENCIAS Y PRODUCTOS 2025-03'!#REF!</f>
        <v>#REF!</v>
      </c>
      <c r="M48" s="38" t="e">
        <f>'LICENCIAS Y PRODUCTOS 2025-03'!#REF!</f>
        <v>#REF!</v>
      </c>
      <c r="N48" s="38">
        <f>'LICENCIAS Y PRODUCTOS 2025-03'!E15</f>
        <v>0</v>
      </c>
      <c r="O48" s="38" t="e">
        <f>'LICENCIAS Y PRODUCTOS 2025-03'!#REF!</f>
        <v>#REF!</v>
      </c>
      <c r="P48" s="38" t="e">
        <f>'LICENCIAS Y PRODUCTOS 2025-03'!#REF!</f>
        <v>#REF!</v>
      </c>
      <c r="Q48" s="38" t="e">
        <f>'LICENCIAS Y PRODUCTOS 2025-03'!#REF!</f>
        <v>#REF!</v>
      </c>
      <c r="R48" s="38" t="e">
        <f>'LICENCIAS Y PRODUCTOS 2025-03'!#REF!</f>
        <v>#REF!</v>
      </c>
      <c r="S48" s="38" t="e">
        <f>'LICENCIAS Y PRODUCTOS 2025-03'!#REF!</f>
        <v>#REF!</v>
      </c>
      <c r="T48" s="38" t="e">
        <f>'LICENCIAS Y PRODUCTOS 2025-03'!#REF!</f>
        <v>#REF!</v>
      </c>
      <c r="U48" s="38" t="e">
        <f>'LICENCIAS Y PRODUCTOS 2025-03'!#REF!</f>
        <v>#REF!</v>
      </c>
      <c r="V48" s="38" t="e">
        <f>'LICENCIAS Y PRODUCTOS 2025-03'!#REF!</f>
        <v>#REF!</v>
      </c>
      <c r="W48" s="38" t="e">
        <f>'LICENCIAS Y PRODUCTOS 2025-03'!#REF!</f>
        <v>#REF!</v>
      </c>
      <c r="X48" s="38" t="e">
        <f>'LICENCIAS Y PRODUCTOS 2025-03'!#REF!</f>
        <v>#REF!</v>
      </c>
      <c r="Y48" s="38" t="e">
        <f>'LICENCIAS Y PRODUCTOS 2025-03'!#REF!</f>
        <v>#REF!</v>
      </c>
      <c r="Z48" s="38" t="e">
        <f>'LICENCIAS Y PRODUCTOS 2025-03'!#REF!</f>
        <v>#REF!</v>
      </c>
      <c r="AA48" s="38" t="e">
        <f>'LICENCIAS Y PRODUCTOS 2025-03'!#REF!</f>
        <v>#REF!</v>
      </c>
      <c r="AB48" s="38" t="e">
        <f>'LICENCIAS Y PRODUCTOS 2025-03'!#REF!</f>
        <v>#REF!</v>
      </c>
      <c r="AC48" s="38" t="e">
        <f>'LICENCIAS Y PRODUCTOS 2025-03'!#REF!</f>
        <v>#REF!</v>
      </c>
      <c r="AD48" s="38" t="e">
        <f>'LICENCIAS Y PRODUCTOS 2025-03'!#REF!</f>
        <v>#REF!</v>
      </c>
      <c r="AE48" s="38" t="e">
        <f>'LICENCIAS Y PRODUCTOS 2025-03'!#REF!</f>
        <v>#REF!</v>
      </c>
      <c r="AF48" s="38" t="e">
        <f>'LICENCIAS Y PRODUCTOS 2025-03'!#REF!</f>
        <v>#REF!</v>
      </c>
      <c r="AG48" s="38" t="e">
        <f>'LICENCIAS Y PRODUCTOS 2025-03'!#REF!</f>
        <v>#REF!</v>
      </c>
      <c r="AH48" s="38" t="e">
        <f>'LICENCIAS Y PRODUCTOS 2025-03'!#REF!</f>
        <v>#REF!</v>
      </c>
      <c r="AI48" s="38"/>
      <c r="AJ48" s="88" t="e">
        <f t="shared" si="2"/>
        <v>#REF!</v>
      </c>
      <c r="AM48" s="75" t="e">
        <f t="shared" si="3"/>
        <v>#REF!</v>
      </c>
    </row>
    <row r="49" spans="2:39" ht="16.5" thickTop="1" thickBot="1">
      <c r="B49" s="21" t="s">
        <v>12</v>
      </c>
      <c r="C49" s="2" t="s">
        <v>13</v>
      </c>
      <c r="D49" s="23" t="s">
        <v>102</v>
      </c>
      <c r="E49" s="38" t="e">
        <f>'LICENCIAS Y PRODUCTOS 2025-03'!#REF!</f>
        <v>#REF!</v>
      </c>
      <c r="F49" s="38" t="e">
        <f>'LICENCIAS Y PRODUCTOS 2025-03'!#REF!</f>
        <v>#REF!</v>
      </c>
      <c r="G49" s="38" t="e">
        <f>'LICENCIAS Y PRODUCTOS 2025-03'!#REF!</f>
        <v>#REF!</v>
      </c>
      <c r="H49" s="38" t="e">
        <f>'LICENCIAS Y PRODUCTOS 2025-03'!#REF!</f>
        <v>#REF!</v>
      </c>
      <c r="I49" s="38" t="e">
        <f>'LICENCIAS Y PRODUCTOS 2025-03'!#REF!</f>
        <v>#REF!</v>
      </c>
      <c r="J49" s="38" t="e">
        <f>'LICENCIAS Y PRODUCTOS 2025-03'!#REF!</f>
        <v>#REF!</v>
      </c>
      <c r="K49" s="38" t="e">
        <f>'LICENCIAS Y PRODUCTOS 2025-03'!#REF!</f>
        <v>#REF!</v>
      </c>
      <c r="L49" s="38" t="e">
        <f>'LICENCIAS Y PRODUCTOS 2025-03'!#REF!</f>
        <v>#REF!</v>
      </c>
      <c r="M49" s="38" t="e">
        <f>'LICENCIAS Y PRODUCTOS 2025-03'!#REF!</f>
        <v>#REF!</v>
      </c>
      <c r="N49" s="38">
        <f>'LICENCIAS Y PRODUCTOS 2025-03'!E16</f>
        <v>6</v>
      </c>
      <c r="O49" s="38" t="e">
        <f>'LICENCIAS Y PRODUCTOS 2025-03'!#REF!</f>
        <v>#REF!</v>
      </c>
      <c r="P49" s="38" t="e">
        <f>'LICENCIAS Y PRODUCTOS 2025-03'!#REF!</f>
        <v>#REF!</v>
      </c>
      <c r="Q49" s="38" t="e">
        <f>'LICENCIAS Y PRODUCTOS 2025-03'!#REF!</f>
        <v>#REF!</v>
      </c>
      <c r="R49" s="38" t="e">
        <f>'LICENCIAS Y PRODUCTOS 2025-03'!#REF!</f>
        <v>#REF!</v>
      </c>
      <c r="S49" s="38" t="e">
        <f>'LICENCIAS Y PRODUCTOS 2025-03'!#REF!</f>
        <v>#REF!</v>
      </c>
      <c r="T49" s="38" t="e">
        <f>'LICENCIAS Y PRODUCTOS 2025-03'!#REF!</f>
        <v>#REF!</v>
      </c>
      <c r="U49" s="38" t="e">
        <f>'LICENCIAS Y PRODUCTOS 2025-03'!#REF!</f>
        <v>#REF!</v>
      </c>
      <c r="V49" s="38" t="e">
        <f>'LICENCIAS Y PRODUCTOS 2025-03'!#REF!</f>
        <v>#REF!</v>
      </c>
      <c r="W49" s="38" t="e">
        <f>'LICENCIAS Y PRODUCTOS 2025-03'!#REF!</f>
        <v>#REF!</v>
      </c>
      <c r="X49" s="38" t="e">
        <f>'LICENCIAS Y PRODUCTOS 2025-03'!#REF!</f>
        <v>#REF!</v>
      </c>
      <c r="Y49" s="38" t="e">
        <f>'LICENCIAS Y PRODUCTOS 2025-03'!#REF!</f>
        <v>#REF!</v>
      </c>
      <c r="Z49" s="38" t="e">
        <f>'LICENCIAS Y PRODUCTOS 2025-03'!#REF!</f>
        <v>#REF!</v>
      </c>
      <c r="AA49" s="38" t="e">
        <f>'LICENCIAS Y PRODUCTOS 2025-03'!#REF!</f>
        <v>#REF!</v>
      </c>
      <c r="AB49" s="38" t="e">
        <f>'LICENCIAS Y PRODUCTOS 2025-03'!#REF!</f>
        <v>#REF!</v>
      </c>
      <c r="AC49" s="38" t="e">
        <f>'LICENCIAS Y PRODUCTOS 2025-03'!#REF!</f>
        <v>#REF!</v>
      </c>
      <c r="AD49" s="38" t="e">
        <f>'LICENCIAS Y PRODUCTOS 2025-03'!#REF!</f>
        <v>#REF!</v>
      </c>
      <c r="AE49" s="38" t="e">
        <f>'LICENCIAS Y PRODUCTOS 2025-03'!#REF!</f>
        <v>#REF!</v>
      </c>
      <c r="AF49" s="38" t="e">
        <f>'LICENCIAS Y PRODUCTOS 2025-03'!#REF!</f>
        <v>#REF!</v>
      </c>
      <c r="AG49" s="38" t="e">
        <f>'LICENCIAS Y PRODUCTOS 2025-03'!#REF!</f>
        <v>#REF!</v>
      </c>
      <c r="AH49" s="38" t="e">
        <f>'LICENCIAS Y PRODUCTOS 2025-03'!#REF!</f>
        <v>#REF!</v>
      </c>
      <c r="AI49" s="38"/>
      <c r="AJ49" s="88" t="e">
        <f t="shared" si="2"/>
        <v>#REF!</v>
      </c>
      <c r="AK49" s="28" t="e">
        <f>SUM(AJ49)</f>
        <v>#REF!</v>
      </c>
      <c r="AL49" t="s">
        <v>168</v>
      </c>
      <c r="AM49" s="75" t="e">
        <f t="shared" si="3"/>
        <v>#REF!</v>
      </c>
    </row>
    <row r="50" spans="2:39" ht="16.5" thickTop="1" thickBot="1">
      <c r="B50" s="21" t="s">
        <v>30</v>
      </c>
      <c r="C50" s="40" t="s">
        <v>130</v>
      </c>
      <c r="D50" s="41" t="s">
        <v>103</v>
      </c>
      <c r="E50" s="38" t="e">
        <f>'LICENCIAS Y PRODUCTOS 2025-03'!#REF!</f>
        <v>#REF!</v>
      </c>
      <c r="F50" s="38" t="e">
        <f>'LICENCIAS Y PRODUCTOS 2025-03'!#REF!</f>
        <v>#REF!</v>
      </c>
      <c r="G50" s="38" t="e">
        <f>'LICENCIAS Y PRODUCTOS 2025-03'!#REF!</f>
        <v>#REF!</v>
      </c>
      <c r="H50" s="38" t="e">
        <f>'LICENCIAS Y PRODUCTOS 2025-03'!#REF!</f>
        <v>#REF!</v>
      </c>
      <c r="I50" s="38" t="e">
        <f>'LICENCIAS Y PRODUCTOS 2025-03'!#REF!</f>
        <v>#REF!</v>
      </c>
      <c r="J50" s="38" t="e">
        <f>'LICENCIAS Y PRODUCTOS 2025-03'!#REF!</f>
        <v>#REF!</v>
      </c>
      <c r="K50" s="38" t="e">
        <f>'LICENCIAS Y PRODUCTOS 2025-03'!#REF!</f>
        <v>#REF!</v>
      </c>
      <c r="L50" s="38" t="e">
        <f>'LICENCIAS Y PRODUCTOS 2025-03'!#REF!</f>
        <v>#REF!</v>
      </c>
      <c r="M50" s="38" t="e">
        <f>'LICENCIAS Y PRODUCTOS 2025-03'!#REF!</f>
        <v>#REF!</v>
      </c>
      <c r="N50" s="38">
        <f>'LICENCIAS Y PRODUCTOS 2025-03'!E17</f>
        <v>0</v>
      </c>
      <c r="O50" s="38" t="e">
        <f>'LICENCIAS Y PRODUCTOS 2025-03'!#REF!</f>
        <v>#REF!</v>
      </c>
      <c r="P50" s="38" t="e">
        <f>'LICENCIAS Y PRODUCTOS 2025-03'!#REF!</f>
        <v>#REF!</v>
      </c>
      <c r="Q50" s="38" t="e">
        <f>'LICENCIAS Y PRODUCTOS 2025-03'!#REF!</f>
        <v>#REF!</v>
      </c>
      <c r="R50" s="38" t="e">
        <f>'LICENCIAS Y PRODUCTOS 2025-03'!#REF!</f>
        <v>#REF!</v>
      </c>
      <c r="S50" s="38" t="e">
        <f>'LICENCIAS Y PRODUCTOS 2025-03'!#REF!</f>
        <v>#REF!</v>
      </c>
      <c r="T50" s="38" t="e">
        <f>'LICENCIAS Y PRODUCTOS 2025-03'!#REF!</f>
        <v>#REF!</v>
      </c>
      <c r="U50" s="38" t="e">
        <f>'LICENCIAS Y PRODUCTOS 2025-03'!#REF!</f>
        <v>#REF!</v>
      </c>
      <c r="V50" s="38" t="e">
        <f>'LICENCIAS Y PRODUCTOS 2025-03'!#REF!</f>
        <v>#REF!</v>
      </c>
      <c r="W50" s="38" t="e">
        <f>'LICENCIAS Y PRODUCTOS 2025-03'!#REF!</f>
        <v>#REF!</v>
      </c>
      <c r="X50" s="38" t="e">
        <f>'LICENCIAS Y PRODUCTOS 2025-03'!#REF!</f>
        <v>#REF!</v>
      </c>
      <c r="Y50" s="38" t="e">
        <f>'LICENCIAS Y PRODUCTOS 2025-03'!#REF!</f>
        <v>#REF!</v>
      </c>
      <c r="Z50" s="38" t="e">
        <f>'LICENCIAS Y PRODUCTOS 2025-03'!#REF!</f>
        <v>#REF!</v>
      </c>
      <c r="AA50" s="38" t="e">
        <f>'LICENCIAS Y PRODUCTOS 2025-03'!#REF!</f>
        <v>#REF!</v>
      </c>
      <c r="AB50" s="38" t="e">
        <f>'LICENCIAS Y PRODUCTOS 2025-03'!#REF!</f>
        <v>#REF!</v>
      </c>
      <c r="AC50" s="38" t="e">
        <f>'LICENCIAS Y PRODUCTOS 2025-03'!#REF!</f>
        <v>#REF!</v>
      </c>
      <c r="AD50" s="38" t="e">
        <f>'LICENCIAS Y PRODUCTOS 2025-03'!#REF!</f>
        <v>#REF!</v>
      </c>
      <c r="AE50" s="38" t="e">
        <f>'LICENCIAS Y PRODUCTOS 2025-03'!#REF!</f>
        <v>#REF!</v>
      </c>
      <c r="AF50" s="38" t="e">
        <f>'LICENCIAS Y PRODUCTOS 2025-03'!#REF!</f>
        <v>#REF!</v>
      </c>
      <c r="AG50" s="38" t="e">
        <f>'LICENCIAS Y PRODUCTOS 2025-03'!#REF!</f>
        <v>#REF!</v>
      </c>
      <c r="AH50" s="38" t="e">
        <f>'LICENCIAS Y PRODUCTOS 2025-03'!#REF!</f>
        <v>#REF!</v>
      </c>
      <c r="AI50" s="38"/>
      <c r="AJ50" s="88" t="e">
        <f t="shared" si="2"/>
        <v>#REF!</v>
      </c>
      <c r="AK50" s="28" t="e">
        <f>AJ50</f>
        <v>#REF!</v>
      </c>
      <c r="AL50" t="s">
        <v>30</v>
      </c>
      <c r="AM50" s="75" t="e">
        <f t="shared" si="3"/>
        <v>#REF!</v>
      </c>
    </row>
    <row r="51" spans="2:39" ht="16.5" thickTop="1" thickBot="1">
      <c r="B51" s="21" t="s">
        <v>29</v>
      </c>
      <c r="C51" s="2" t="s">
        <v>24</v>
      </c>
      <c r="D51" s="23" t="s">
        <v>115</v>
      </c>
      <c r="E51" s="38" t="e">
        <f>'LICENCIAS Y PRODUCTOS 2025-03'!#REF!</f>
        <v>#REF!</v>
      </c>
      <c r="F51" s="38" t="e">
        <f>'LICENCIAS Y PRODUCTOS 2025-03'!#REF!</f>
        <v>#REF!</v>
      </c>
      <c r="G51" s="38" t="e">
        <f>'LICENCIAS Y PRODUCTOS 2025-03'!#REF!</f>
        <v>#REF!</v>
      </c>
      <c r="H51" s="38" t="e">
        <f>'LICENCIAS Y PRODUCTOS 2025-03'!#REF!</f>
        <v>#REF!</v>
      </c>
      <c r="I51" s="38" t="e">
        <f>'LICENCIAS Y PRODUCTOS 2025-03'!#REF!</f>
        <v>#REF!</v>
      </c>
      <c r="J51" s="38" t="e">
        <f>'LICENCIAS Y PRODUCTOS 2025-03'!#REF!</f>
        <v>#REF!</v>
      </c>
      <c r="K51" s="38" t="e">
        <f>'LICENCIAS Y PRODUCTOS 2025-03'!#REF!</f>
        <v>#REF!</v>
      </c>
      <c r="L51" s="38" t="e">
        <f>'LICENCIAS Y PRODUCTOS 2025-03'!#REF!</f>
        <v>#REF!</v>
      </c>
      <c r="M51" s="38" t="e">
        <f>'LICENCIAS Y PRODUCTOS 2025-03'!#REF!</f>
        <v>#REF!</v>
      </c>
      <c r="N51" s="38">
        <f>'LICENCIAS Y PRODUCTOS 2025-03'!E18</f>
        <v>0</v>
      </c>
      <c r="O51" s="38" t="e">
        <f>'LICENCIAS Y PRODUCTOS 2025-03'!#REF!</f>
        <v>#REF!</v>
      </c>
      <c r="P51" s="38" t="e">
        <f>'LICENCIAS Y PRODUCTOS 2025-03'!#REF!</f>
        <v>#REF!</v>
      </c>
      <c r="Q51" s="38" t="e">
        <f>'LICENCIAS Y PRODUCTOS 2025-03'!#REF!</f>
        <v>#REF!</v>
      </c>
      <c r="R51" s="38" t="e">
        <f>'LICENCIAS Y PRODUCTOS 2025-03'!#REF!</f>
        <v>#REF!</v>
      </c>
      <c r="S51" s="38" t="e">
        <f>'LICENCIAS Y PRODUCTOS 2025-03'!#REF!</f>
        <v>#REF!</v>
      </c>
      <c r="T51" s="38" t="e">
        <f>'LICENCIAS Y PRODUCTOS 2025-03'!#REF!</f>
        <v>#REF!</v>
      </c>
      <c r="U51" s="38" t="e">
        <f>'LICENCIAS Y PRODUCTOS 2025-03'!#REF!</f>
        <v>#REF!</v>
      </c>
      <c r="V51" s="38" t="e">
        <f>'LICENCIAS Y PRODUCTOS 2025-03'!#REF!</f>
        <v>#REF!</v>
      </c>
      <c r="W51" s="38" t="e">
        <f>'LICENCIAS Y PRODUCTOS 2025-03'!#REF!</f>
        <v>#REF!</v>
      </c>
      <c r="X51" s="38" t="e">
        <f>'LICENCIAS Y PRODUCTOS 2025-03'!#REF!</f>
        <v>#REF!</v>
      </c>
      <c r="Y51" s="38" t="e">
        <f>'LICENCIAS Y PRODUCTOS 2025-03'!#REF!</f>
        <v>#REF!</v>
      </c>
      <c r="Z51" s="38" t="e">
        <f>'LICENCIAS Y PRODUCTOS 2025-03'!#REF!</f>
        <v>#REF!</v>
      </c>
      <c r="AA51" s="38" t="e">
        <f>'LICENCIAS Y PRODUCTOS 2025-03'!#REF!</f>
        <v>#REF!</v>
      </c>
      <c r="AB51" s="38" t="e">
        <f>'LICENCIAS Y PRODUCTOS 2025-03'!#REF!</f>
        <v>#REF!</v>
      </c>
      <c r="AC51" s="38" t="e">
        <f>'LICENCIAS Y PRODUCTOS 2025-03'!#REF!</f>
        <v>#REF!</v>
      </c>
      <c r="AD51" s="38" t="e">
        <f>'LICENCIAS Y PRODUCTOS 2025-03'!#REF!</f>
        <v>#REF!</v>
      </c>
      <c r="AE51" s="38" t="e">
        <f>'LICENCIAS Y PRODUCTOS 2025-03'!#REF!</f>
        <v>#REF!</v>
      </c>
      <c r="AF51" s="38" t="e">
        <f>'LICENCIAS Y PRODUCTOS 2025-03'!#REF!</f>
        <v>#REF!</v>
      </c>
      <c r="AG51" s="38" t="e">
        <f>'LICENCIAS Y PRODUCTOS 2025-03'!#REF!</f>
        <v>#REF!</v>
      </c>
      <c r="AH51" s="38" t="e">
        <f>'LICENCIAS Y PRODUCTOS 2025-03'!#REF!</f>
        <v>#REF!</v>
      </c>
      <c r="AI51" s="38"/>
      <c r="AJ51" s="88" t="e">
        <f t="shared" si="2"/>
        <v>#REF!</v>
      </c>
      <c r="AK51" s="28" t="e">
        <f>SUM(AJ51:AJ52)</f>
        <v>#REF!</v>
      </c>
      <c r="AL51" t="s">
        <v>29</v>
      </c>
      <c r="AM51" s="75" t="e">
        <f t="shared" si="3"/>
        <v>#REF!</v>
      </c>
    </row>
    <row r="52" spans="2:39" ht="16.5" thickTop="1" thickBot="1">
      <c r="B52" s="21" t="s">
        <v>29</v>
      </c>
      <c r="C52" s="2" t="s">
        <v>173</v>
      </c>
      <c r="D52" s="77" t="s">
        <v>104</v>
      </c>
      <c r="E52" s="38" t="e">
        <f>'LICENCIAS Y PRODUCTOS 2025-03'!#REF!</f>
        <v>#REF!</v>
      </c>
      <c r="F52" s="38" t="e">
        <f>'LICENCIAS Y PRODUCTOS 2025-03'!#REF!</f>
        <v>#REF!</v>
      </c>
      <c r="G52" s="38" t="e">
        <f>'LICENCIAS Y PRODUCTOS 2025-03'!#REF!</f>
        <v>#REF!</v>
      </c>
      <c r="H52" s="38" t="e">
        <f>'LICENCIAS Y PRODUCTOS 2025-03'!#REF!</f>
        <v>#REF!</v>
      </c>
      <c r="I52" s="38" t="e">
        <f>'LICENCIAS Y PRODUCTOS 2025-03'!#REF!</f>
        <v>#REF!</v>
      </c>
      <c r="J52" s="38" t="e">
        <f>'LICENCIAS Y PRODUCTOS 2025-03'!#REF!</f>
        <v>#REF!</v>
      </c>
      <c r="K52" s="38" t="e">
        <f>'LICENCIAS Y PRODUCTOS 2025-03'!#REF!</f>
        <v>#REF!</v>
      </c>
      <c r="L52" s="38" t="e">
        <f>'LICENCIAS Y PRODUCTOS 2025-03'!#REF!</f>
        <v>#REF!</v>
      </c>
      <c r="M52" s="38" t="e">
        <f>'LICENCIAS Y PRODUCTOS 2025-03'!#REF!</f>
        <v>#REF!</v>
      </c>
      <c r="N52" s="38">
        <f>'LICENCIAS Y PRODUCTOS 2025-03'!E19</f>
        <v>0</v>
      </c>
      <c r="O52" s="38" t="e">
        <f>'LICENCIAS Y PRODUCTOS 2025-03'!#REF!</f>
        <v>#REF!</v>
      </c>
      <c r="P52" s="38" t="e">
        <f>'LICENCIAS Y PRODUCTOS 2025-03'!#REF!</f>
        <v>#REF!</v>
      </c>
      <c r="Q52" s="38" t="e">
        <f>'LICENCIAS Y PRODUCTOS 2025-03'!#REF!</f>
        <v>#REF!</v>
      </c>
      <c r="R52" s="38" t="e">
        <f>'LICENCIAS Y PRODUCTOS 2025-03'!#REF!</f>
        <v>#REF!</v>
      </c>
      <c r="S52" s="38" t="e">
        <f>'LICENCIAS Y PRODUCTOS 2025-03'!#REF!</f>
        <v>#REF!</v>
      </c>
      <c r="T52" s="38" t="e">
        <f>'LICENCIAS Y PRODUCTOS 2025-03'!#REF!</f>
        <v>#REF!</v>
      </c>
      <c r="U52" s="38" t="e">
        <f>'LICENCIAS Y PRODUCTOS 2025-03'!#REF!</f>
        <v>#REF!</v>
      </c>
      <c r="V52" s="38" t="e">
        <f>'LICENCIAS Y PRODUCTOS 2025-03'!#REF!</f>
        <v>#REF!</v>
      </c>
      <c r="W52" s="38" t="e">
        <f>'LICENCIAS Y PRODUCTOS 2025-03'!#REF!</f>
        <v>#REF!</v>
      </c>
      <c r="X52" s="38" t="e">
        <f>'LICENCIAS Y PRODUCTOS 2025-03'!#REF!</f>
        <v>#REF!</v>
      </c>
      <c r="Y52" s="38" t="e">
        <f>'LICENCIAS Y PRODUCTOS 2025-03'!#REF!</f>
        <v>#REF!</v>
      </c>
      <c r="Z52" s="38" t="e">
        <f>'LICENCIAS Y PRODUCTOS 2025-03'!#REF!</f>
        <v>#REF!</v>
      </c>
      <c r="AA52" s="38" t="e">
        <f>'LICENCIAS Y PRODUCTOS 2025-03'!#REF!</f>
        <v>#REF!</v>
      </c>
      <c r="AB52" s="38" t="e">
        <f>'LICENCIAS Y PRODUCTOS 2025-03'!#REF!</f>
        <v>#REF!</v>
      </c>
      <c r="AC52" s="38" t="e">
        <f>'LICENCIAS Y PRODUCTOS 2025-03'!#REF!</f>
        <v>#REF!</v>
      </c>
      <c r="AD52" s="38" t="e">
        <f>'LICENCIAS Y PRODUCTOS 2025-03'!#REF!</f>
        <v>#REF!</v>
      </c>
      <c r="AE52" s="38" t="e">
        <f>'LICENCIAS Y PRODUCTOS 2025-03'!#REF!</f>
        <v>#REF!</v>
      </c>
      <c r="AF52" s="38" t="e">
        <f>'LICENCIAS Y PRODUCTOS 2025-03'!#REF!</f>
        <v>#REF!</v>
      </c>
      <c r="AG52" s="38" t="e">
        <f>'LICENCIAS Y PRODUCTOS 2025-03'!#REF!</f>
        <v>#REF!</v>
      </c>
      <c r="AH52" s="38" t="e">
        <f>'LICENCIAS Y PRODUCTOS 2025-03'!#REF!</f>
        <v>#REF!</v>
      </c>
      <c r="AI52" s="38"/>
      <c r="AJ52" s="88" t="e">
        <f t="shared" si="2"/>
        <v>#REF!</v>
      </c>
      <c r="AM52" s="75" t="e">
        <f t="shared" si="3"/>
        <v>#REF!</v>
      </c>
    </row>
    <row r="53" spans="2:39" ht="25.5" thickTop="1" thickBot="1">
      <c r="B53" s="21" t="s">
        <v>16</v>
      </c>
      <c r="C53" s="2" t="s">
        <v>26</v>
      </c>
      <c r="D53" s="23" t="s">
        <v>105</v>
      </c>
      <c r="E53" s="38" t="e">
        <f>'LICENCIAS Y PRODUCTOS 2025-03'!#REF!</f>
        <v>#REF!</v>
      </c>
      <c r="F53" s="38" t="e">
        <f>'LICENCIAS Y PRODUCTOS 2025-03'!#REF!</f>
        <v>#REF!</v>
      </c>
      <c r="G53" s="38" t="e">
        <f>'LICENCIAS Y PRODUCTOS 2025-03'!#REF!</f>
        <v>#REF!</v>
      </c>
      <c r="H53" s="38" t="e">
        <f>'LICENCIAS Y PRODUCTOS 2025-03'!#REF!</f>
        <v>#REF!</v>
      </c>
      <c r="I53" s="38" t="e">
        <f>'LICENCIAS Y PRODUCTOS 2025-03'!#REF!</f>
        <v>#REF!</v>
      </c>
      <c r="J53" s="38" t="e">
        <f>'LICENCIAS Y PRODUCTOS 2025-03'!#REF!</f>
        <v>#REF!</v>
      </c>
      <c r="K53" s="38" t="e">
        <f>'LICENCIAS Y PRODUCTOS 2025-03'!#REF!</f>
        <v>#REF!</v>
      </c>
      <c r="L53" s="38" t="e">
        <f>'LICENCIAS Y PRODUCTOS 2025-03'!#REF!</f>
        <v>#REF!</v>
      </c>
      <c r="M53" s="38" t="e">
        <f>'LICENCIAS Y PRODUCTOS 2025-03'!#REF!</f>
        <v>#REF!</v>
      </c>
      <c r="N53" s="38">
        <f>'LICENCIAS Y PRODUCTOS 2025-03'!E20</f>
        <v>0</v>
      </c>
      <c r="O53" s="38" t="e">
        <f>'LICENCIAS Y PRODUCTOS 2025-03'!#REF!</f>
        <v>#REF!</v>
      </c>
      <c r="P53" s="38" t="e">
        <f>'LICENCIAS Y PRODUCTOS 2025-03'!#REF!</f>
        <v>#REF!</v>
      </c>
      <c r="Q53" s="38" t="e">
        <f>'LICENCIAS Y PRODUCTOS 2025-03'!#REF!</f>
        <v>#REF!</v>
      </c>
      <c r="R53" s="38" t="e">
        <f>'LICENCIAS Y PRODUCTOS 2025-03'!#REF!</f>
        <v>#REF!</v>
      </c>
      <c r="S53" s="38" t="e">
        <f>'LICENCIAS Y PRODUCTOS 2025-03'!#REF!</f>
        <v>#REF!</v>
      </c>
      <c r="T53" s="38" t="e">
        <f>'LICENCIAS Y PRODUCTOS 2025-03'!#REF!</f>
        <v>#REF!</v>
      </c>
      <c r="U53" s="38" t="e">
        <f>'LICENCIAS Y PRODUCTOS 2025-03'!#REF!</f>
        <v>#REF!</v>
      </c>
      <c r="V53" s="38" t="e">
        <f>'LICENCIAS Y PRODUCTOS 2025-03'!#REF!</f>
        <v>#REF!</v>
      </c>
      <c r="W53" s="38" t="e">
        <f>'LICENCIAS Y PRODUCTOS 2025-03'!#REF!</f>
        <v>#REF!</v>
      </c>
      <c r="X53" s="38" t="e">
        <f>'LICENCIAS Y PRODUCTOS 2025-03'!#REF!</f>
        <v>#REF!</v>
      </c>
      <c r="Y53" s="38" t="e">
        <f>'LICENCIAS Y PRODUCTOS 2025-03'!#REF!</f>
        <v>#REF!</v>
      </c>
      <c r="Z53" s="38" t="e">
        <f>'LICENCIAS Y PRODUCTOS 2025-03'!#REF!</f>
        <v>#REF!</v>
      </c>
      <c r="AA53" s="38" t="e">
        <f>'LICENCIAS Y PRODUCTOS 2025-03'!#REF!</f>
        <v>#REF!</v>
      </c>
      <c r="AB53" s="38" t="e">
        <f>'LICENCIAS Y PRODUCTOS 2025-03'!#REF!</f>
        <v>#REF!</v>
      </c>
      <c r="AC53" s="38" t="e">
        <f>'LICENCIAS Y PRODUCTOS 2025-03'!#REF!</f>
        <v>#REF!</v>
      </c>
      <c r="AD53" s="38" t="e">
        <f>'LICENCIAS Y PRODUCTOS 2025-03'!#REF!</f>
        <v>#REF!</v>
      </c>
      <c r="AE53" s="38" t="e">
        <f>'LICENCIAS Y PRODUCTOS 2025-03'!#REF!</f>
        <v>#REF!</v>
      </c>
      <c r="AF53" s="38" t="e">
        <f>'LICENCIAS Y PRODUCTOS 2025-03'!#REF!</f>
        <v>#REF!</v>
      </c>
      <c r="AG53" s="38" t="e">
        <f>'LICENCIAS Y PRODUCTOS 2025-03'!#REF!</f>
        <v>#REF!</v>
      </c>
      <c r="AH53" s="38" t="e">
        <f>'LICENCIAS Y PRODUCTOS 2025-03'!#REF!</f>
        <v>#REF!</v>
      </c>
      <c r="AI53" s="38"/>
      <c r="AJ53" s="88" t="e">
        <f t="shared" si="2"/>
        <v>#REF!</v>
      </c>
      <c r="AK53" s="28" t="e">
        <f>SUM(AJ53:AJ54)</f>
        <v>#REF!</v>
      </c>
      <c r="AL53" t="s">
        <v>179</v>
      </c>
      <c r="AM53" s="75" t="e">
        <f t="shared" si="3"/>
        <v>#REF!</v>
      </c>
    </row>
    <row r="54" spans="2:39" ht="25.5" thickTop="1" thickBot="1">
      <c r="B54" s="21" t="s">
        <v>16</v>
      </c>
      <c r="C54" s="2" t="s">
        <v>25</v>
      </c>
      <c r="D54" s="23" t="s">
        <v>106</v>
      </c>
      <c r="E54" s="38" t="e">
        <f>'LICENCIAS Y PRODUCTOS 2025-03'!#REF!</f>
        <v>#REF!</v>
      </c>
      <c r="F54" s="38" t="e">
        <f>'LICENCIAS Y PRODUCTOS 2025-03'!#REF!</f>
        <v>#REF!</v>
      </c>
      <c r="G54" s="38" t="e">
        <f>'LICENCIAS Y PRODUCTOS 2025-03'!#REF!</f>
        <v>#REF!</v>
      </c>
      <c r="H54" s="38" t="e">
        <f>'LICENCIAS Y PRODUCTOS 2025-03'!#REF!</f>
        <v>#REF!</v>
      </c>
      <c r="I54" s="38" t="e">
        <f>'LICENCIAS Y PRODUCTOS 2025-03'!#REF!</f>
        <v>#REF!</v>
      </c>
      <c r="J54" s="38" t="e">
        <f>'LICENCIAS Y PRODUCTOS 2025-03'!#REF!</f>
        <v>#REF!</v>
      </c>
      <c r="K54" s="38" t="e">
        <f>'LICENCIAS Y PRODUCTOS 2025-03'!#REF!</f>
        <v>#REF!</v>
      </c>
      <c r="L54" s="38" t="e">
        <f>'LICENCIAS Y PRODUCTOS 2025-03'!#REF!</f>
        <v>#REF!</v>
      </c>
      <c r="M54" s="38" t="e">
        <f>'LICENCIAS Y PRODUCTOS 2025-03'!#REF!</f>
        <v>#REF!</v>
      </c>
      <c r="N54" s="38">
        <f>'LICENCIAS Y PRODUCTOS 2025-03'!E21</f>
        <v>0</v>
      </c>
      <c r="O54" s="38" t="e">
        <f>'LICENCIAS Y PRODUCTOS 2025-03'!#REF!</f>
        <v>#REF!</v>
      </c>
      <c r="P54" s="38" t="e">
        <f>'LICENCIAS Y PRODUCTOS 2025-03'!#REF!</f>
        <v>#REF!</v>
      </c>
      <c r="Q54" s="38" t="e">
        <f>'LICENCIAS Y PRODUCTOS 2025-03'!#REF!</f>
        <v>#REF!</v>
      </c>
      <c r="R54" s="38" t="e">
        <f>'LICENCIAS Y PRODUCTOS 2025-03'!#REF!</f>
        <v>#REF!</v>
      </c>
      <c r="S54" s="38" t="e">
        <f>'LICENCIAS Y PRODUCTOS 2025-03'!#REF!</f>
        <v>#REF!</v>
      </c>
      <c r="T54" s="38" t="e">
        <f>'LICENCIAS Y PRODUCTOS 2025-03'!#REF!</f>
        <v>#REF!</v>
      </c>
      <c r="U54" s="38" t="e">
        <f>'LICENCIAS Y PRODUCTOS 2025-03'!#REF!</f>
        <v>#REF!</v>
      </c>
      <c r="V54" s="38" t="e">
        <f>'LICENCIAS Y PRODUCTOS 2025-03'!#REF!</f>
        <v>#REF!</v>
      </c>
      <c r="W54" s="38" t="e">
        <f>'LICENCIAS Y PRODUCTOS 2025-03'!#REF!</f>
        <v>#REF!</v>
      </c>
      <c r="X54" s="38" t="e">
        <f>'LICENCIAS Y PRODUCTOS 2025-03'!#REF!</f>
        <v>#REF!</v>
      </c>
      <c r="Y54" s="38" t="e">
        <f>'LICENCIAS Y PRODUCTOS 2025-03'!#REF!</f>
        <v>#REF!</v>
      </c>
      <c r="Z54" s="38" t="e">
        <f>'LICENCIAS Y PRODUCTOS 2025-03'!#REF!</f>
        <v>#REF!</v>
      </c>
      <c r="AA54" s="38" t="e">
        <f>'LICENCIAS Y PRODUCTOS 2025-03'!#REF!</f>
        <v>#REF!</v>
      </c>
      <c r="AB54" s="38" t="e">
        <f>'LICENCIAS Y PRODUCTOS 2025-03'!#REF!</f>
        <v>#REF!</v>
      </c>
      <c r="AC54" s="38" t="e">
        <f>'LICENCIAS Y PRODUCTOS 2025-03'!#REF!</f>
        <v>#REF!</v>
      </c>
      <c r="AD54" s="38" t="e">
        <f>'LICENCIAS Y PRODUCTOS 2025-03'!#REF!</f>
        <v>#REF!</v>
      </c>
      <c r="AE54" s="38" t="e">
        <f>'LICENCIAS Y PRODUCTOS 2025-03'!#REF!</f>
        <v>#REF!</v>
      </c>
      <c r="AF54" s="38" t="e">
        <f>'LICENCIAS Y PRODUCTOS 2025-03'!#REF!</f>
        <v>#REF!</v>
      </c>
      <c r="AG54" s="38" t="e">
        <f>'LICENCIAS Y PRODUCTOS 2025-03'!#REF!</f>
        <v>#REF!</v>
      </c>
      <c r="AH54" s="38" t="e">
        <f>'LICENCIAS Y PRODUCTOS 2025-03'!#REF!</f>
        <v>#REF!</v>
      </c>
      <c r="AI54" s="38"/>
      <c r="AJ54" s="88" t="e">
        <f t="shared" si="2"/>
        <v>#REF!</v>
      </c>
      <c r="AM54" s="75" t="e">
        <f t="shared" si="3"/>
        <v>#REF!</v>
      </c>
    </row>
    <row r="55" spans="2:39" ht="16.5" thickTop="1" thickBot="1">
      <c r="B55" s="21" t="s">
        <v>17</v>
      </c>
      <c r="C55" s="2" t="s">
        <v>181</v>
      </c>
      <c r="D55" s="23" t="s">
        <v>107</v>
      </c>
      <c r="E55" s="38" t="e">
        <f>'LICENCIAS Y PRODUCTOS 2025-03'!#REF!</f>
        <v>#REF!</v>
      </c>
      <c r="F55" s="38" t="e">
        <f>'LICENCIAS Y PRODUCTOS 2025-03'!#REF!</f>
        <v>#REF!</v>
      </c>
      <c r="G55" s="38" t="e">
        <f>'LICENCIAS Y PRODUCTOS 2025-03'!#REF!</f>
        <v>#REF!</v>
      </c>
      <c r="H55" s="38" t="e">
        <f>'LICENCIAS Y PRODUCTOS 2025-03'!#REF!</f>
        <v>#REF!</v>
      </c>
      <c r="I55" s="38" t="e">
        <f>'LICENCIAS Y PRODUCTOS 2025-03'!#REF!</f>
        <v>#REF!</v>
      </c>
      <c r="J55" s="38" t="e">
        <f>'LICENCIAS Y PRODUCTOS 2025-03'!#REF!</f>
        <v>#REF!</v>
      </c>
      <c r="K55" s="38" t="e">
        <f>'LICENCIAS Y PRODUCTOS 2025-03'!#REF!</f>
        <v>#REF!</v>
      </c>
      <c r="L55" s="38" t="e">
        <f>'LICENCIAS Y PRODUCTOS 2025-03'!#REF!</f>
        <v>#REF!</v>
      </c>
      <c r="M55" s="38" t="e">
        <f>'LICENCIAS Y PRODUCTOS 2025-03'!#REF!</f>
        <v>#REF!</v>
      </c>
      <c r="N55" s="38">
        <f>'LICENCIAS Y PRODUCTOS 2025-03'!E22</f>
        <v>0</v>
      </c>
      <c r="O55" s="38" t="e">
        <f>'LICENCIAS Y PRODUCTOS 2025-03'!#REF!</f>
        <v>#REF!</v>
      </c>
      <c r="P55" s="38" t="e">
        <f>'LICENCIAS Y PRODUCTOS 2025-03'!#REF!</f>
        <v>#REF!</v>
      </c>
      <c r="Q55" s="38" t="e">
        <f>'LICENCIAS Y PRODUCTOS 2025-03'!#REF!</f>
        <v>#REF!</v>
      </c>
      <c r="R55" s="38" t="e">
        <f>'LICENCIAS Y PRODUCTOS 2025-03'!#REF!</f>
        <v>#REF!</v>
      </c>
      <c r="S55" s="38" t="e">
        <f>'LICENCIAS Y PRODUCTOS 2025-03'!#REF!</f>
        <v>#REF!</v>
      </c>
      <c r="T55" s="38" t="e">
        <f>'LICENCIAS Y PRODUCTOS 2025-03'!#REF!</f>
        <v>#REF!</v>
      </c>
      <c r="U55" s="38" t="e">
        <f>'LICENCIAS Y PRODUCTOS 2025-03'!#REF!</f>
        <v>#REF!</v>
      </c>
      <c r="V55" s="38" t="e">
        <f>'LICENCIAS Y PRODUCTOS 2025-03'!#REF!</f>
        <v>#REF!</v>
      </c>
      <c r="W55" s="38" t="e">
        <f>'LICENCIAS Y PRODUCTOS 2025-03'!#REF!</f>
        <v>#REF!</v>
      </c>
      <c r="X55" s="38" t="e">
        <f>'LICENCIAS Y PRODUCTOS 2025-03'!#REF!</f>
        <v>#REF!</v>
      </c>
      <c r="Y55" s="38" t="e">
        <f>'LICENCIAS Y PRODUCTOS 2025-03'!#REF!</f>
        <v>#REF!</v>
      </c>
      <c r="Z55" s="38" t="e">
        <f>'LICENCIAS Y PRODUCTOS 2025-03'!#REF!</f>
        <v>#REF!</v>
      </c>
      <c r="AA55" s="38" t="e">
        <f>'LICENCIAS Y PRODUCTOS 2025-03'!#REF!</f>
        <v>#REF!</v>
      </c>
      <c r="AB55" s="38" t="e">
        <f>'LICENCIAS Y PRODUCTOS 2025-03'!#REF!</f>
        <v>#REF!</v>
      </c>
      <c r="AC55" s="38" t="e">
        <f>'LICENCIAS Y PRODUCTOS 2025-03'!#REF!</f>
        <v>#REF!</v>
      </c>
      <c r="AD55" s="38" t="e">
        <f>'LICENCIAS Y PRODUCTOS 2025-03'!#REF!</f>
        <v>#REF!</v>
      </c>
      <c r="AE55" s="38" t="e">
        <f>'LICENCIAS Y PRODUCTOS 2025-03'!#REF!</f>
        <v>#REF!</v>
      </c>
      <c r="AF55" s="38" t="e">
        <f>'LICENCIAS Y PRODUCTOS 2025-03'!#REF!</f>
        <v>#REF!</v>
      </c>
      <c r="AG55" s="38" t="e">
        <f>'LICENCIAS Y PRODUCTOS 2025-03'!#REF!</f>
        <v>#REF!</v>
      </c>
      <c r="AH55" s="38" t="e">
        <f>'LICENCIAS Y PRODUCTOS 2025-03'!#REF!</f>
        <v>#REF!</v>
      </c>
      <c r="AI55" s="38"/>
      <c r="AJ55" s="88" t="e">
        <f t="shared" si="2"/>
        <v>#REF!</v>
      </c>
      <c r="AK55" s="28" t="e">
        <f>AJ55</f>
        <v>#REF!</v>
      </c>
      <c r="AL55" t="s">
        <v>17</v>
      </c>
      <c r="AM55" s="75" t="e">
        <f t="shared" si="3"/>
        <v>#REF!</v>
      </c>
    </row>
    <row r="56" spans="2:39" ht="16.5" thickTop="1" thickBot="1">
      <c r="B56" s="21" t="s">
        <v>19</v>
      </c>
      <c r="C56" s="2" t="s">
        <v>20</v>
      </c>
      <c r="D56" s="23" t="s">
        <v>108</v>
      </c>
      <c r="E56" s="38" t="e">
        <f>'LICENCIAS Y PRODUCTOS 2025-03'!#REF!</f>
        <v>#REF!</v>
      </c>
      <c r="F56" s="38" t="e">
        <f>'LICENCIAS Y PRODUCTOS 2025-03'!#REF!</f>
        <v>#REF!</v>
      </c>
      <c r="G56" s="38" t="e">
        <f>'LICENCIAS Y PRODUCTOS 2025-03'!#REF!</f>
        <v>#REF!</v>
      </c>
      <c r="H56" s="38" t="e">
        <f>'LICENCIAS Y PRODUCTOS 2025-03'!#REF!</f>
        <v>#REF!</v>
      </c>
      <c r="I56" s="38" t="e">
        <f>'LICENCIAS Y PRODUCTOS 2025-03'!#REF!</f>
        <v>#REF!</v>
      </c>
      <c r="J56" s="38" t="e">
        <f>'LICENCIAS Y PRODUCTOS 2025-03'!#REF!</f>
        <v>#REF!</v>
      </c>
      <c r="K56" s="38" t="e">
        <f>'LICENCIAS Y PRODUCTOS 2025-03'!#REF!</f>
        <v>#REF!</v>
      </c>
      <c r="L56" s="38" t="e">
        <f>'LICENCIAS Y PRODUCTOS 2025-03'!#REF!</f>
        <v>#REF!</v>
      </c>
      <c r="M56" s="38" t="e">
        <f>'LICENCIAS Y PRODUCTOS 2025-03'!#REF!</f>
        <v>#REF!</v>
      </c>
      <c r="N56" s="38">
        <f>'LICENCIAS Y PRODUCTOS 2025-03'!E23</f>
        <v>0</v>
      </c>
      <c r="O56" s="38" t="e">
        <f>'LICENCIAS Y PRODUCTOS 2025-03'!#REF!</f>
        <v>#REF!</v>
      </c>
      <c r="P56" s="38" t="e">
        <f>'LICENCIAS Y PRODUCTOS 2025-03'!#REF!</f>
        <v>#REF!</v>
      </c>
      <c r="Q56" s="38" t="e">
        <f>'LICENCIAS Y PRODUCTOS 2025-03'!#REF!</f>
        <v>#REF!</v>
      </c>
      <c r="R56" s="38" t="e">
        <f>'LICENCIAS Y PRODUCTOS 2025-03'!#REF!</f>
        <v>#REF!</v>
      </c>
      <c r="S56" s="38" t="e">
        <f>'LICENCIAS Y PRODUCTOS 2025-03'!#REF!</f>
        <v>#REF!</v>
      </c>
      <c r="T56" s="38" t="e">
        <f>'LICENCIAS Y PRODUCTOS 2025-03'!#REF!</f>
        <v>#REF!</v>
      </c>
      <c r="U56" s="38" t="e">
        <f>'LICENCIAS Y PRODUCTOS 2025-03'!#REF!</f>
        <v>#REF!</v>
      </c>
      <c r="V56" s="38" t="e">
        <f>'LICENCIAS Y PRODUCTOS 2025-03'!#REF!</f>
        <v>#REF!</v>
      </c>
      <c r="W56" s="38" t="e">
        <f>'LICENCIAS Y PRODUCTOS 2025-03'!#REF!</f>
        <v>#REF!</v>
      </c>
      <c r="X56" s="38" t="e">
        <f>'LICENCIAS Y PRODUCTOS 2025-03'!#REF!</f>
        <v>#REF!</v>
      </c>
      <c r="Y56" s="38" t="e">
        <f>'LICENCIAS Y PRODUCTOS 2025-03'!#REF!</f>
        <v>#REF!</v>
      </c>
      <c r="Z56" s="38" t="e">
        <f>'LICENCIAS Y PRODUCTOS 2025-03'!#REF!</f>
        <v>#REF!</v>
      </c>
      <c r="AA56" s="38" t="e">
        <f>'LICENCIAS Y PRODUCTOS 2025-03'!#REF!</f>
        <v>#REF!</v>
      </c>
      <c r="AB56" s="38" t="e">
        <f>'LICENCIAS Y PRODUCTOS 2025-03'!#REF!</f>
        <v>#REF!</v>
      </c>
      <c r="AC56" s="38" t="e">
        <f>'LICENCIAS Y PRODUCTOS 2025-03'!#REF!</f>
        <v>#REF!</v>
      </c>
      <c r="AD56" s="38" t="e">
        <f>'LICENCIAS Y PRODUCTOS 2025-03'!#REF!</f>
        <v>#REF!</v>
      </c>
      <c r="AE56" s="38" t="e">
        <f>'LICENCIAS Y PRODUCTOS 2025-03'!#REF!</f>
        <v>#REF!</v>
      </c>
      <c r="AF56" s="38" t="e">
        <f>'LICENCIAS Y PRODUCTOS 2025-03'!#REF!</f>
        <v>#REF!</v>
      </c>
      <c r="AG56" s="38" t="e">
        <f>'LICENCIAS Y PRODUCTOS 2025-03'!#REF!</f>
        <v>#REF!</v>
      </c>
      <c r="AH56" s="38" t="e">
        <f>'LICENCIAS Y PRODUCTOS 2025-03'!#REF!</f>
        <v>#REF!</v>
      </c>
      <c r="AI56" s="38"/>
      <c r="AJ56" s="88" t="e">
        <f t="shared" si="2"/>
        <v>#REF!</v>
      </c>
      <c r="AK56" s="28" t="e">
        <f>SUM(AJ57:AJ59)</f>
        <v>#REF!</v>
      </c>
      <c r="AL56" t="s">
        <v>21</v>
      </c>
      <c r="AM56" s="75" t="e">
        <f t="shared" si="3"/>
        <v>#REF!</v>
      </c>
    </row>
    <row r="57" spans="2:39" ht="16.5" thickTop="1" thickBot="1">
      <c r="B57" s="21" t="s">
        <v>21</v>
      </c>
      <c r="C57" s="2" t="s">
        <v>128</v>
      </c>
      <c r="D57" s="23" t="s">
        <v>111</v>
      </c>
      <c r="E57" s="38" t="e">
        <f>'LICENCIAS Y PRODUCTOS 2025-03'!#REF!</f>
        <v>#REF!</v>
      </c>
      <c r="F57" s="38" t="e">
        <f>'LICENCIAS Y PRODUCTOS 2025-03'!#REF!</f>
        <v>#REF!</v>
      </c>
      <c r="G57" s="38" t="e">
        <f>'LICENCIAS Y PRODUCTOS 2025-03'!#REF!</f>
        <v>#REF!</v>
      </c>
      <c r="H57" s="38" t="e">
        <f>'LICENCIAS Y PRODUCTOS 2025-03'!#REF!</f>
        <v>#REF!</v>
      </c>
      <c r="I57" s="38" t="e">
        <f>'LICENCIAS Y PRODUCTOS 2025-03'!#REF!</f>
        <v>#REF!</v>
      </c>
      <c r="J57" s="38" t="e">
        <f>'LICENCIAS Y PRODUCTOS 2025-03'!#REF!</f>
        <v>#REF!</v>
      </c>
      <c r="K57" s="38" t="e">
        <f>'LICENCIAS Y PRODUCTOS 2025-03'!#REF!</f>
        <v>#REF!</v>
      </c>
      <c r="L57" s="38" t="e">
        <f>'LICENCIAS Y PRODUCTOS 2025-03'!#REF!</f>
        <v>#REF!</v>
      </c>
      <c r="M57" s="38" t="e">
        <f>'LICENCIAS Y PRODUCTOS 2025-03'!#REF!</f>
        <v>#REF!</v>
      </c>
      <c r="N57" s="38">
        <f>'LICENCIAS Y PRODUCTOS 2025-03'!E24</f>
        <v>0</v>
      </c>
      <c r="O57" s="38" t="e">
        <f>'LICENCIAS Y PRODUCTOS 2025-03'!#REF!</f>
        <v>#REF!</v>
      </c>
      <c r="P57" s="38" t="e">
        <f>'LICENCIAS Y PRODUCTOS 2025-03'!#REF!</f>
        <v>#REF!</v>
      </c>
      <c r="Q57" s="38" t="e">
        <f>'LICENCIAS Y PRODUCTOS 2025-03'!#REF!</f>
        <v>#REF!</v>
      </c>
      <c r="R57" s="38" t="e">
        <f>'LICENCIAS Y PRODUCTOS 2025-03'!#REF!</f>
        <v>#REF!</v>
      </c>
      <c r="S57" s="38" t="e">
        <f>'LICENCIAS Y PRODUCTOS 2025-03'!#REF!</f>
        <v>#REF!</v>
      </c>
      <c r="T57" s="38" t="e">
        <f>'LICENCIAS Y PRODUCTOS 2025-03'!#REF!</f>
        <v>#REF!</v>
      </c>
      <c r="U57" s="38" t="e">
        <f>'LICENCIAS Y PRODUCTOS 2025-03'!#REF!</f>
        <v>#REF!</v>
      </c>
      <c r="V57" s="38" t="e">
        <f>'LICENCIAS Y PRODUCTOS 2025-03'!#REF!</f>
        <v>#REF!</v>
      </c>
      <c r="W57" s="38" t="e">
        <f>'LICENCIAS Y PRODUCTOS 2025-03'!#REF!</f>
        <v>#REF!</v>
      </c>
      <c r="X57" s="38" t="e">
        <f>'LICENCIAS Y PRODUCTOS 2025-03'!#REF!</f>
        <v>#REF!</v>
      </c>
      <c r="Y57" s="38" t="e">
        <f>'LICENCIAS Y PRODUCTOS 2025-03'!#REF!</f>
        <v>#REF!</v>
      </c>
      <c r="Z57" s="38" t="e">
        <f>'LICENCIAS Y PRODUCTOS 2025-03'!#REF!</f>
        <v>#REF!</v>
      </c>
      <c r="AA57" s="38" t="e">
        <f>'LICENCIAS Y PRODUCTOS 2025-03'!#REF!</f>
        <v>#REF!</v>
      </c>
      <c r="AB57" s="38" t="e">
        <f>'LICENCIAS Y PRODUCTOS 2025-03'!#REF!</f>
        <v>#REF!</v>
      </c>
      <c r="AC57" s="38" t="e">
        <f>'LICENCIAS Y PRODUCTOS 2025-03'!#REF!</f>
        <v>#REF!</v>
      </c>
      <c r="AD57" s="38" t="e">
        <f>'LICENCIAS Y PRODUCTOS 2025-03'!#REF!</f>
        <v>#REF!</v>
      </c>
      <c r="AE57" s="38" t="e">
        <f>'LICENCIAS Y PRODUCTOS 2025-03'!#REF!</f>
        <v>#REF!</v>
      </c>
      <c r="AF57" s="38" t="e">
        <f>'LICENCIAS Y PRODUCTOS 2025-03'!#REF!</f>
        <v>#REF!</v>
      </c>
      <c r="AG57" s="38" t="e">
        <f>'LICENCIAS Y PRODUCTOS 2025-03'!#REF!</f>
        <v>#REF!</v>
      </c>
      <c r="AH57" s="38" t="e">
        <f>'LICENCIAS Y PRODUCTOS 2025-03'!#REF!</f>
        <v>#REF!</v>
      </c>
      <c r="AI57" s="38"/>
      <c r="AJ57" s="88" t="e">
        <f t="shared" si="2"/>
        <v>#REF!</v>
      </c>
      <c r="AK57" s="28" t="e">
        <f>AJ56</f>
        <v>#REF!</v>
      </c>
      <c r="AL57" t="s">
        <v>20</v>
      </c>
      <c r="AM57" s="75" t="e">
        <f t="shared" si="3"/>
        <v>#REF!</v>
      </c>
    </row>
    <row r="58" spans="2:39" ht="16.5" thickTop="1" thickBot="1">
      <c r="B58" s="21" t="s">
        <v>21</v>
      </c>
      <c r="C58" s="2" t="s">
        <v>129</v>
      </c>
      <c r="D58" s="23" t="s">
        <v>112</v>
      </c>
      <c r="E58" s="38" t="e">
        <f>'LICENCIAS Y PRODUCTOS 2025-03'!#REF!</f>
        <v>#REF!</v>
      </c>
      <c r="F58" s="38" t="e">
        <f>'LICENCIAS Y PRODUCTOS 2025-03'!#REF!</f>
        <v>#REF!</v>
      </c>
      <c r="G58" s="38" t="e">
        <f>'LICENCIAS Y PRODUCTOS 2025-03'!#REF!</f>
        <v>#REF!</v>
      </c>
      <c r="H58" s="38" t="e">
        <f>'LICENCIAS Y PRODUCTOS 2025-03'!#REF!</f>
        <v>#REF!</v>
      </c>
      <c r="I58" s="38" t="e">
        <f>'LICENCIAS Y PRODUCTOS 2025-03'!#REF!</f>
        <v>#REF!</v>
      </c>
      <c r="J58" s="38" t="e">
        <f>'LICENCIAS Y PRODUCTOS 2025-03'!#REF!</f>
        <v>#REF!</v>
      </c>
      <c r="K58" s="38" t="e">
        <f>'LICENCIAS Y PRODUCTOS 2025-03'!#REF!</f>
        <v>#REF!</v>
      </c>
      <c r="L58" s="38" t="e">
        <f>'LICENCIAS Y PRODUCTOS 2025-03'!#REF!</f>
        <v>#REF!</v>
      </c>
      <c r="M58" s="38" t="e">
        <f>'LICENCIAS Y PRODUCTOS 2025-03'!#REF!</f>
        <v>#REF!</v>
      </c>
      <c r="N58" s="38">
        <f>'LICENCIAS Y PRODUCTOS 2025-03'!E25</f>
        <v>46</v>
      </c>
      <c r="O58" s="38" t="e">
        <f>'LICENCIAS Y PRODUCTOS 2025-03'!#REF!</f>
        <v>#REF!</v>
      </c>
      <c r="P58" s="38" t="e">
        <f>'LICENCIAS Y PRODUCTOS 2025-03'!#REF!</f>
        <v>#REF!</v>
      </c>
      <c r="Q58" s="38" t="e">
        <f>'LICENCIAS Y PRODUCTOS 2025-03'!#REF!</f>
        <v>#REF!</v>
      </c>
      <c r="R58" s="38" t="e">
        <f>'LICENCIAS Y PRODUCTOS 2025-03'!#REF!</f>
        <v>#REF!</v>
      </c>
      <c r="S58" s="38" t="e">
        <f>'LICENCIAS Y PRODUCTOS 2025-03'!#REF!</f>
        <v>#REF!</v>
      </c>
      <c r="T58" s="38" t="e">
        <f>'LICENCIAS Y PRODUCTOS 2025-03'!#REF!</f>
        <v>#REF!</v>
      </c>
      <c r="U58" s="38" t="e">
        <f>'LICENCIAS Y PRODUCTOS 2025-03'!#REF!</f>
        <v>#REF!</v>
      </c>
      <c r="V58" s="38" t="e">
        <f>'LICENCIAS Y PRODUCTOS 2025-03'!#REF!</f>
        <v>#REF!</v>
      </c>
      <c r="W58" s="38" t="e">
        <f>'LICENCIAS Y PRODUCTOS 2025-03'!#REF!</f>
        <v>#REF!</v>
      </c>
      <c r="X58" s="38" t="e">
        <f>'LICENCIAS Y PRODUCTOS 2025-03'!#REF!</f>
        <v>#REF!</v>
      </c>
      <c r="Y58" s="38" t="e">
        <f>'LICENCIAS Y PRODUCTOS 2025-03'!#REF!</f>
        <v>#REF!</v>
      </c>
      <c r="Z58" s="38" t="e">
        <f>'LICENCIAS Y PRODUCTOS 2025-03'!#REF!</f>
        <v>#REF!</v>
      </c>
      <c r="AA58" s="38" t="e">
        <f>'LICENCIAS Y PRODUCTOS 2025-03'!#REF!</f>
        <v>#REF!</v>
      </c>
      <c r="AB58" s="38" t="e">
        <f>'LICENCIAS Y PRODUCTOS 2025-03'!#REF!</f>
        <v>#REF!</v>
      </c>
      <c r="AC58" s="38" t="e">
        <f>'LICENCIAS Y PRODUCTOS 2025-03'!#REF!</f>
        <v>#REF!</v>
      </c>
      <c r="AD58" s="38" t="e">
        <f>'LICENCIAS Y PRODUCTOS 2025-03'!#REF!</f>
        <v>#REF!</v>
      </c>
      <c r="AE58" s="38" t="e">
        <f>'LICENCIAS Y PRODUCTOS 2025-03'!#REF!</f>
        <v>#REF!</v>
      </c>
      <c r="AF58" s="38" t="e">
        <f>'LICENCIAS Y PRODUCTOS 2025-03'!#REF!</f>
        <v>#REF!</v>
      </c>
      <c r="AG58" s="38" t="e">
        <f>'LICENCIAS Y PRODUCTOS 2025-03'!#REF!</f>
        <v>#REF!</v>
      </c>
      <c r="AH58" s="38" t="e">
        <f>'LICENCIAS Y PRODUCTOS 2025-03'!#REF!</f>
        <v>#REF!</v>
      </c>
      <c r="AI58" s="38"/>
      <c r="AJ58" s="88" t="e">
        <f t="shared" si="2"/>
        <v>#REF!</v>
      </c>
      <c r="AM58" s="75" t="e">
        <f t="shared" si="3"/>
        <v>#REF!</v>
      </c>
    </row>
    <row r="59" spans="2:39" ht="25.5" thickTop="1" thickBot="1">
      <c r="B59" s="21" t="s">
        <v>21</v>
      </c>
      <c r="C59" s="79" t="s">
        <v>131</v>
      </c>
      <c r="D59" s="41" t="s">
        <v>132</v>
      </c>
      <c r="E59" s="38" t="e">
        <f>'LICENCIAS Y PRODUCTOS 2025-03'!#REF!</f>
        <v>#REF!</v>
      </c>
      <c r="F59" s="38" t="e">
        <f>'LICENCIAS Y PRODUCTOS 2025-03'!#REF!</f>
        <v>#REF!</v>
      </c>
      <c r="G59" s="38" t="e">
        <f>'LICENCIAS Y PRODUCTOS 2025-03'!#REF!</f>
        <v>#REF!</v>
      </c>
      <c r="H59" s="38" t="e">
        <f>'LICENCIAS Y PRODUCTOS 2025-03'!#REF!</f>
        <v>#REF!</v>
      </c>
      <c r="I59" s="38" t="e">
        <f>'LICENCIAS Y PRODUCTOS 2025-03'!#REF!</f>
        <v>#REF!</v>
      </c>
      <c r="J59" s="38" t="e">
        <f>'LICENCIAS Y PRODUCTOS 2025-03'!#REF!</f>
        <v>#REF!</v>
      </c>
      <c r="K59" s="38" t="e">
        <f>'LICENCIAS Y PRODUCTOS 2025-03'!#REF!</f>
        <v>#REF!</v>
      </c>
      <c r="L59" s="38" t="e">
        <f>'LICENCIAS Y PRODUCTOS 2025-03'!#REF!</f>
        <v>#REF!</v>
      </c>
      <c r="M59" s="38" t="e">
        <f>'LICENCIAS Y PRODUCTOS 2025-03'!#REF!</f>
        <v>#REF!</v>
      </c>
      <c r="N59" s="38">
        <f>'LICENCIAS Y PRODUCTOS 2025-03'!E26</f>
        <v>0</v>
      </c>
      <c r="O59" s="38" t="e">
        <f>'LICENCIAS Y PRODUCTOS 2025-03'!#REF!</f>
        <v>#REF!</v>
      </c>
      <c r="P59" s="38" t="e">
        <f>'LICENCIAS Y PRODUCTOS 2025-03'!#REF!</f>
        <v>#REF!</v>
      </c>
      <c r="Q59" s="38" t="e">
        <f>'LICENCIAS Y PRODUCTOS 2025-03'!#REF!</f>
        <v>#REF!</v>
      </c>
      <c r="R59" s="38" t="e">
        <f>'LICENCIAS Y PRODUCTOS 2025-03'!#REF!</f>
        <v>#REF!</v>
      </c>
      <c r="S59" s="38" t="e">
        <f>'LICENCIAS Y PRODUCTOS 2025-03'!#REF!</f>
        <v>#REF!</v>
      </c>
      <c r="T59" s="38" t="e">
        <f>'LICENCIAS Y PRODUCTOS 2025-03'!#REF!</f>
        <v>#REF!</v>
      </c>
      <c r="U59" s="38" t="e">
        <f>'LICENCIAS Y PRODUCTOS 2025-03'!#REF!</f>
        <v>#REF!</v>
      </c>
      <c r="V59" s="38" t="e">
        <f>'LICENCIAS Y PRODUCTOS 2025-03'!#REF!</f>
        <v>#REF!</v>
      </c>
      <c r="W59" s="38" t="e">
        <f>'LICENCIAS Y PRODUCTOS 2025-03'!#REF!</f>
        <v>#REF!</v>
      </c>
      <c r="X59" s="38" t="e">
        <f>'LICENCIAS Y PRODUCTOS 2025-03'!#REF!</f>
        <v>#REF!</v>
      </c>
      <c r="Y59" s="38" t="e">
        <f>'LICENCIAS Y PRODUCTOS 2025-03'!#REF!</f>
        <v>#REF!</v>
      </c>
      <c r="Z59" s="38" t="e">
        <f>'LICENCIAS Y PRODUCTOS 2025-03'!#REF!</f>
        <v>#REF!</v>
      </c>
      <c r="AA59" s="38" t="e">
        <f>'LICENCIAS Y PRODUCTOS 2025-03'!#REF!</f>
        <v>#REF!</v>
      </c>
      <c r="AB59" s="38" t="e">
        <f>'LICENCIAS Y PRODUCTOS 2025-03'!#REF!</f>
        <v>#REF!</v>
      </c>
      <c r="AC59" s="38" t="e">
        <f>'LICENCIAS Y PRODUCTOS 2025-03'!#REF!</f>
        <v>#REF!</v>
      </c>
      <c r="AD59" s="38" t="e">
        <f>'LICENCIAS Y PRODUCTOS 2025-03'!#REF!</f>
        <v>#REF!</v>
      </c>
      <c r="AE59" s="38" t="e">
        <f>'LICENCIAS Y PRODUCTOS 2025-03'!#REF!</f>
        <v>#REF!</v>
      </c>
      <c r="AF59" s="38" t="e">
        <f>'LICENCIAS Y PRODUCTOS 2025-03'!#REF!</f>
        <v>#REF!</v>
      </c>
      <c r="AG59" s="38" t="e">
        <f>'LICENCIAS Y PRODUCTOS 2025-03'!#REF!</f>
        <v>#REF!</v>
      </c>
      <c r="AH59" s="38" t="e">
        <f>'LICENCIAS Y PRODUCTOS 2025-03'!#REF!</f>
        <v>#REF!</v>
      </c>
      <c r="AI59" s="38"/>
      <c r="AJ59" s="88" t="e">
        <f t="shared" si="2"/>
        <v>#REF!</v>
      </c>
      <c r="AM59" s="75" t="e">
        <f t="shared" si="3"/>
        <v>#REF!</v>
      </c>
    </row>
    <row r="60" spans="2:39" ht="25.5" thickTop="1" thickBot="1">
      <c r="B60" s="21" t="s">
        <v>27</v>
      </c>
      <c r="C60" s="2" t="s">
        <v>28</v>
      </c>
      <c r="D60" s="23" t="s">
        <v>113</v>
      </c>
      <c r="E60" s="38" t="e">
        <f>'LICENCIAS Y PRODUCTOS 2025-03'!#REF!</f>
        <v>#REF!</v>
      </c>
      <c r="F60" s="38" t="e">
        <f>'LICENCIAS Y PRODUCTOS 2025-03'!#REF!</f>
        <v>#REF!</v>
      </c>
      <c r="G60" s="38" t="e">
        <f>'LICENCIAS Y PRODUCTOS 2025-03'!#REF!</f>
        <v>#REF!</v>
      </c>
      <c r="H60" s="38" t="e">
        <f>'LICENCIAS Y PRODUCTOS 2025-03'!#REF!</f>
        <v>#REF!</v>
      </c>
      <c r="I60" s="38" t="e">
        <f>'LICENCIAS Y PRODUCTOS 2025-03'!#REF!</f>
        <v>#REF!</v>
      </c>
      <c r="J60" s="38" t="e">
        <f>'LICENCIAS Y PRODUCTOS 2025-03'!#REF!</f>
        <v>#REF!</v>
      </c>
      <c r="K60" s="38" t="e">
        <f>'LICENCIAS Y PRODUCTOS 2025-03'!#REF!</f>
        <v>#REF!</v>
      </c>
      <c r="L60" s="38" t="e">
        <f>'LICENCIAS Y PRODUCTOS 2025-03'!#REF!</f>
        <v>#REF!</v>
      </c>
      <c r="M60" s="38" t="e">
        <f>'LICENCIAS Y PRODUCTOS 2025-03'!#REF!</f>
        <v>#REF!</v>
      </c>
      <c r="N60" s="38">
        <f>'LICENCIAS Y PRODUCTOS 2025-03'!E27</f>
        <v>0</v>
      </c>
      <c r="O60" s="38" t="e">
        <f>'LICENCIAS Y PRODUCTOS 2025-03'!#REF!</f>
        <v>#REF!</v>
      </c>
      <c r="P60" s="38" t="e">
        <f>'LICENCIAS Y PRODUCTOS 2025-03'!#REF!</f>
        <v>#REF!</v>
      </c>
      <c r="Q60" s="38" t="e">
        <f>'LICENCIAS Y PRODUCTOS 2025-03'!#REF!</f>
        <v>#REF!</v>
      </c>
      <c r="R60" s="38" t="e">
        <f>'LICENCIAS Y PRODUCTOS 2025-03'!#REF!</f>
        <v>#REF!</v>
      </c>
      <c r="S60" s="38" t="e">
        <f>'LICENCIAS Y PRODUCTOS 2025-03'!#REF!</f>
        <v>#REF!</v>
      </c>
      <c r="T60" s="38" t="e">
        <f>'LICENCIAS Y PRODUCTOS 2025-03'!#REF!</f>
        <v>#REF!</v>
      </c>
      <c r="U60" s="38" t="e">
        <f>'LICENCIAS Y PRODUCTOS 2025-03'!#REF!</f>
        <v>#REF!</v>
      </c>
      <c r="V60" s="38" t="e">
        <f>'LICENCIAS Y PRODUCTOS 2025-03'!#REF!</f>
        <v>#REF!</v>
      </c>
      <c r="W60" s="38" t="e">
        <f>'LICENCIAS Y PRODUCTOS 2025-03'!#REF!</f>
        <v>#REF!</v>
      </c>
      <c r="X60" s="38" t="e">
        <f>'LICENCIAS Y PRODUCTOS 2025-03'!#REF!</f>
        <v>#REF!</v>
      </c>
      <c r="Y60" s="38" t="e">
        <f>'LICENCIAS Y PRODUCTOS 2025-03'!#REF!</f>
        <v>#REF!</v>
      </c>
      <c r="Z60" s="38" t="e">
        <f>'LICENCIAS Y PRODUCTOS 2025-03'!#REF!</f>
        <v>#REF!</v>
      </c>
      <c r="AA60" s="38" t="e">
        <f>'LICENCIAS Y PRODUCTOS 2025-03'!#REF!</f>
        <v>#REF!</v>
      </c>
      <c r="AB60" s="38" t="e">
        <f>'LICENCIAS Y PRODUCTOS 2025-03'!#REF!</f>
        <v>#REF!</v>
      </c>
      <c r="AC60" s="38" t="e">
        <f>'LICENCIAS Y PRODUCTOS 2025-03'!#REF!</f>
        <v>#REF!</v>
      </c>
      <c r="AD60" s="38" t="e">
        <f>'LICENCIAS Y PRODUCTOS 2025-03'!#REF!</f>
        <v>#REF!</v>
      </c>
      <c r="AE60" s="38" t="e">
        <f>'LICENCIAS Y PRODUCTOS 2025-03'!#REF!</f>
        <v>#REF!</v>
      </c>
      <c r="AF60" s="38" t="e">
        <f>'LICENCIAS Y PRODUCTOS 2025-03'!#REF!</f>
        <v>#REF!</v>
      </c>
      <c r="AG60" s="38" t="e">
        <f>'LICENCIAS Y PRODUCTOS 2025-03'!#REF!</f>
        <v>#REF!</v>
      </c>
      <c r="AH60" s="38" t="e">
        <f>'LICENCIAS Y PRODUCTOS 2025-03'!#REF!</f>
        <v>#REF!</v>
      </c>
      <c r="AI60" s="38"/>
      <c r="AJ60" s="88" t="e">
        <f t="shared" si="2"/>
        <v>#REF!</v>
      </c>
      <c r="AK60" s="28" t="e">
        <f>SUM(AJ60)</f>
        <v>#REF!</v>
      </c>
      <c r="AL60" t="s">
        <v>27</v>
      </c>
      <c r="AM60" s="75" t="e">
        <f t="shared" si="3"/>
        <v>#REF!</v>
      </c>
    </row>
    <row r="61" spans="2:39" ht="16.5" thickTop="1" thickBot="1">
      <c r="B61" s="11"/>
      <c r="C61" s="12" t="s">
        <v>62</v>
      </c>
      <c r="D61" s="12"/>
      <c r="E61" s="43" t="e">
        <f>SUM(Table14[AT])</f>
        <v>#REF!</v>
      </c>
      <c r="F61" s="43" t="e">
        <f>SUM(Table14[BE])</f>
        <v>#REF!</v>
      </c>
      <c r="G61" s="43" t="e">
        <f>SUM(Table14[BG])</f>
        <v>#REF!</v>
      </c>
      <c r="H61" s="43" t="e">
        <f>SUM(Table14[CY])</f>
        <v>#REF!</v>
      </c>
      <c r="I61" s="43" t="e">
        <f>SUM(Table14[CZ])</f>
        <v>#REF!</v>
      </c>
      <c r="J61" s="43" t="e">
        <f>SUM(Table14[DE])</f>
        <v>#REF!</v>
      </c>
      <c r="K61" s="43" t="e">
        <f>SUM(Table14[DK])</f>
        <v>#REF!</v>
      </c>
      <c r="L61" s="43" t="e">
        <f>SUM(Table14[EE])</f>
        <v>#REF!</v>
      </c>
      <c r="M61" s="43" t="e">
        <f>SUM(Table14[EL])</f>
        <v>#REF!</v>
      </c>
      <c r="N61" s="43">
        <f>SUM(Table14[ES])</f>
        <v>96</v>
      </c>
      <c r="O61" s="43" t="e">
        <f>SUM(Table14[FI])</f>
        <v>#REF!</v>
      </c>
      <c r="P61" s="43" t="e">
        <f>SUM(Table14[FR])</f>
        <v>#REF!</v>
      </c>
      <c r="Q61" s="43" t="e">
        <f>SUM(Table14[HR])</f>
        <v>#REF!</v>
      </c>
      <c r="R61" s="43" t="e">
        <f>SUM(Table14[HU])</f>
        <v>#REF!</v>
      </c>
      <c r="S61" s="43" t="e">
        <f>SUM(Table14[IE])</f>
        <v>#REF!</v>
      </c>
      <c r="T61" s="43" t="e">
        <f>SUM(Table14[IS])</f>
        <v>#REF!</v>
      </c>
      <c r="U61" s="43" t="e">
        <f>SUM(Table14[IT])</f>
        <v>#REF!</v>
      </c>
      <c r="V61" s="43" t="e">
        <f>SUM(Table14[LT])</f>
        <v>#REF!</v>
      </c>
      <c r="W61" s="43" t="e">
        <f>SUM(Table14[LU])</f>
        <v>#REF!</v>
      </c>
      <c r="X61" s="43" t="e">
        <f>SUM(Table14[LV])</f>
        <v>#REF!</v>
      </c>
      <c r="Y61" s="43" t="e">
        <f>SUM(Table14[MT])</f>
        <v>#REF!</v>
      </c>
      <c r="Z61" s="43" t="e">
        <f>SUM(Table14[NL])</f>
        <v>#REF!</v>
      </c>
      <c r="AA61" s="43" t="e">
        <f>SUM(Table14[NO])</f>
        <v>#REF!</v>
      </c>
      <c r="AB61" s="43" t="e">
        <f>SUM(Table14[PL])</f>
        <v>#REF!</v>
      </c>
      <c r="AC61" s="43" t="e">
        <f>SUM(Table14[PT])</f>
        <v>#REF!</v>
      </c>
      <c r="AD61" s="43" t="e">
        <f>SUM(Table14[RO])</f>
        <v>#REF!</v>
      </c>
      <c r="AE61" s="43" t="e">
        <f>SUM(Table14[SE])</f>
        <v>#REF!</v>
      </c>
      <c r="AF61" s="43" t="e">
        <f>SUM(Table14[SI])</f>
        <v>#REF!</v>
      </c>
      <c r="AG61" s="43" t="e">
        <f>SUM(Table14[SK])</f>
        <v>#REF!</v>
      </c>
      <c r="AH61" s="43" t="e">
        <f>SUM(Table14[GBNIR])</f>
        <v>#REF!</v>
      </c>
      <c r="AI61" s="43">
        <f>SUM(Table14[-])</f>
        <v>0</v>
      </c>
      <c r="AJ61" s="19" t="e">
        <f>SUM(AJ35:AJ60)</f>
        <v>#REF!</v>
      </c>
      <c r="AK61" s="28"/>
    </row>
    <row r="62" spans="2:39" ht="15.75" thickTop="1">
      <c r="AJ62" s="28"/>
    </row>
    <row r="64" spans="2:39">
      <c r="AF64" s="85"/>
      <c r="AH64" s="82"/>
      <c r="AI64" s="82"/>
    </row>
    <row r="65" spans="25:35">
      <c r="AE65" s="28"/>
      <c r="AF65" s="28"/>
      <c r="AH65" s="83"/>
      <c r="AI65" s="84"/>
    </row>
    <row r="66" spans="25:35">
      <c r="AE66" s="28"/>
      <c r="AF66" s="28"/>
      <c r="AH66" s="82"/>
      <c r="AI66" s="84"/>
    </row>
    <row r="67" spans="25:35">
      <c r="Y67" s="75"/>
    </row>
    <row r="69" spans="25:35">
      <c r="AF69" s="85"/>
      <c r="AG69" s="85"/>
      <c r="AH69" s="82"/>
      <c r="AI69" s="82"/>
    </row>
    <row r="70" spans="25:35">
      <c r="AF70" s="28"/>
      <c r="AH70" s="83"/>
      <c r="AI70" s="84"/>
    </row>
    <row r="71" spans="25:35">
      <c r="AF71" s="28"/>
      <c r="AH71" s="82"/>
      <c r="AI71" s="84"/>
    </row>
  </sheetData>
  <autoFilter ref="AJ34:AJ61" xr:uid="{00000000-0009-0000-0000-000002000000}"/>
  <hyperlinks>
    <hyperlink ref="D26" r:id="rId1" display="2011/333/EU " xr:uid="{00000000-0004-0000-0200-000001000000}"/>
    <hyperlink ref="D27" r:id="rId2" display="2009/568/EC" xr:uid="{00000000-0004-0000-0200-000002000000}"/>
    <hyperlink ref="D29" r:id="rId3" display="2017/175/EC" xr:uid="{00000000-0004-0000-0200-000003000000}"/>
    <hyperlink ref="D57" r:id="rId4" display="2011/333/EU " xr:uid="{00000000-0004-0000-0200-000005000000}"/>
    <hyperlink ref="D58" r:id="rId5" display="2009/568/EC" xr:uid="{00000000-0004-0000-0200-000006000000}"/>
    <hyperlink ref="D60" r:id="rId6" display="2017/175/EC" xr:uid="{00000000-0004-0000-0200-000007000000}"/>
  </hyperlinks>
  <pageMargins left="0.7" right="0.7" top="0.75" bottom="0.75" header="0.3" footer="0.3"/>
  <pageSetup paperSize="9" orientation="portrait" r:id="rId7"/>
  <tableParts count="2">
    <tablePart r:id="rId8"/>
    <tablePart r:id="rId9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190A8-D919-496E-9E0D-DBAF1C211FFC}">
  <sheetPr>
    <tabColor rgb="FF31639B"/>
  </sheetPr>
  <dimension ref="B1:AK71"/>
  <sheetViews>
    <sheetView zoomScale="70" zoomScaleNormal="70" workbookViewId="0">
      <selection activeCell="T19" sqref="T19"/>
    </sheetView>
  </sheetViews>
  <sheetFormatPr baseColWidth="10" defaultColWidth="8.7109375" defaultRowHeight="15"/>
  <cols>
    <col min="2" max="2" width="17.42578125" customWidth="1"/>
    <col min="3" max="3" width="45.5703125" customWidth="1"/>
    <col min="4" max="4" width="11.42578125" customWidth="1"/>
    <col min="5" max="35" width="8.7109375" customWidth="1"/>
    <col min="36" max="36" width="13.28515625" customWidth="1"/>
  </cols>
  <sheetData>
    <row r="1" spans="2:36" s="18" customFormat="1" ht="15.75" thickBot="1">
      <c r="B1" s="26"/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  <c r="S1" s="26">
        <v>17</v>
      </c>
      <c r="T1" s="26">
        <v>18</v>
      </c>
      <c r="U1" s="26">
        <v>19</v>
      </c>
      <c r="V1" s="26">
        <v>20</v>
      </c>
      <c r="W1" s="26">
        <v>21</v>
      </c>
      <c r="X1" s="26">
        <v>22</v>
      </c>
      <c r="Y1" s="26">
        <v>23</v>
      </c>
      <c r="Z1" s="26">
        <v>24</v>
      </c>
      <c r="AA1" s="26">
        <v>25</v>
      </c>
      <c r="AB1" s="26">
        <v>26</v>
      </c>
      <c r="AC1" s="26">
        <v>27</v>
      </c>
      <c r="AD1" s="26">
        <v>28</v>
      </c>
      <c r="AE1" s="26">
        <v>29</v>
      </c>
      <c r="AF1" s="26">
        <v>30</v>
      </c>
      <c r="AG1" s="26">
        <v>31</v>
      </c>
      <c r="AH1" s="26">
        <v>32</v>
      </c>
      <c r="AI1" s="26"/>
      <c r="AJ1" s="26">
        <v>33</v>
      </c>
    </row>
    <row r="2" spans="2:36" ht="16.5" thickTop="1" thickBot="1">
      <c r="B2" s="5" t="s">
        <v>34</v>
      </c>
      <c r="C2" s="6"/>
      <c r="D2" s="6"/>
      <c r="E2" s="7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9"/>
    </row>
    <row r="3" spans="2:36" ht="16.5" thickTop="1" thickBot="1">
      <c r="B3" s="3" t="s">
        <v>91</v>
      </c>
      <c r="C3" s="3" t="s">
        <v>0</v>
      </c>
      <c r="D3" s="3" t="s">
        <v>114</v>
      </c>
      <c r="E3" s="20" t="s">
        <v>35</v>
      </c>
      <c r="F3" s="20" t="s">
        <v>36</v>
      </c>
      <c r="G3" s="20" t="s">
        <v>37</v>
      </c>
      <c r="H3" s="20" t="s">
        <v>39</v>
      </c>
      <c r="I3" s="20" t="s">
        <v>33</v>
      </c>
      <c r="J3" s="20" t="s">
        <v>44</v>
      </c>
      <c r="K3" s="20" t="s">
        <v>40</v>
      </c>
      <c r="L3" s="20" t="s">
        <v>41</v>
      </c>
      <c r="M3" s="20" t="s">
        <v>135</v>
      </c>
      <c r="N3" s="20" t="s">
        <v>59</v>
      </c>
      <c r="O3" s="20" t="s">
        <v>42</v>
      </c>
      <c r="P3" s="20" t="s">
        <v>43</v>
      </c>
      <c r="Q3" s="20" t="s">
        <v>137</v>
      </c>
      <c r="R3" s="20" t="s">
        <v>45</v>
      </c>
      <c r="S3" s="20" t="s">
        <v>47</v>
      </c>
      <c r="T3" s="20" t="s">
        <v>46</v>
      </c>
      <c r="U3" s="20" t="s">
        <v>48</v>
      </c>
      <c r="V3" s="20" t="s">
        <v>50</v>
      </c>
      <c r="W3" s="20" t="s">
        <v>51</v>
      </c>
      <c r="X3" s="20" t="s">
        <v>49</v>
      </c>
      <c r="Y3" s="20" t="s">
        <v>52</v>
      </c>
      <c r="Z3" s="20" t="s">
        <v>53</v>
      </c>
      <c r="AA3" s="20" t="s">
        <v>54</v>
      </c>
      <c r="AB3" s="20" t="s">
        <v>121</v>
      </c>
      <c r="AC3" s="20" t="s">
        <v>55</v>
      </c>
      <c r="AD3" s="20" t="s">
        <v>56</v>
      </c>
      <c r="AE3" s="20" t="s">
        <v>60</v>
      </c>
      <c r="AF3" s="20" t="s">
        <v>58</v>
      </c>
      <c r="AG3" s="20" t="s">
        <v>57</v>
      </c>
      <c r="AH3" s="45" t="s">
        <v>169</v>
      </c>
      <c r="AI3" s="45" t="s">
        <v>138</v>
      </c>
      <c r="AJ3" s="22" t="s">
        <v>61</v>
      </c>
    </row>
    <row r="4" spans="2:36" ht="16.5" thickTop="1" thickBot="1">
      <c r="B4" s="21" t="s">
        <v>1</v>
      </c>
      <c r="C4" s="76" t="s">
        <v>172</v>
      </c>
      <c r="D4" s="77" t="s">
        <v>92</v>
      </c>
      <c r="E4" s="38">
        <v>8</v>
      </c>
      <c r="F4" s="38">
        <v>2</v>
      </c>
      <c r="G4" s="38">
        <v>1</v>
      </c>
      <c r="H4" s="38">
        <v>0</v>
      </c>
      <c r="I4" s="38">
        <v>0</v>
      </c>
      <c r="J4" s="38">
        <v>17</v>
      </c>
      <c r="K4" s="38">
        <v>1</v>
      </c>
      <c r="L4" s="38">
        <v>4</v>
      </c>
      <c r="M4" s="38">
        <v>0</v>
      </c>
      <c r="N4" s="38">
        <v>16</v>
      </c>
      <c r="O4" s="38">
        <v>0</v>
      </c>
      <c r="P4" s="38">
        <v>9</v>
      </c>
      <c r="Q4" s="38">
        <v>1</v>
      </c>
      <c r="R4" s="38">
        <v>0</v>
      </c>
      <c r="S4" s="38">
        <v>7</v>
      </c>
      <c r="T4" s="38">
        <v>0</v>
      </c>
      <c r="U4" s="38">
        <v>19</v>
      </c>
      <c r="V4" s="38">
        <v>0</v>
      </c>
      <c r="W4" s="38">
        <v>0</v>
      </c>
      <c r="X4" s="38">
        <v>0</v>
      </c>
      <c r="Y4" s="38">
        <v>0</v>
      </c>
      <c r="Z4" s="38">
        <v>7</v>
      </c>
      <c r="AA4" s="38">
        <v>0</v>
      </c>
      <c r="AB4" s="38">
        <v>2</v>
      </c>
      <c r="AC4" s="38">
        <v>1</v>
      </c>
      <c r="AD4" s="38">
        <v>5</v>
      </c>
      <c r="AE4" s="38">
        <v>3</v>
      </c>
      <c r="AF4" s="38">
        <v>1</v>
      </c>
      <c r="AG4" s="38">
        <v>0</v>
      </c>
      <c r="AH4" s="38">
        <v>0</v>
      </c>
      <c r="AI4" s="38"/>
      <c r="AJ4" s="87">
        <f t="shared" ref="AJ4:AJ29" si="0">SUM(E4:AI4)</f>
        <v>104</v>
      </c>
    </row>
    <row r="5" spans="2:36" ht="16.5" thickTop="1" thickBot="1">
      <c r="B5" s="21" t="s">
        <v>1</v>
      </c>
      <c r="C5" s="2" t="s">
        <v>228</v>
      </c>
      <c r="D5" s="23" t="s">
        <v>93</v>
      </c>
      <c r="E5" s="38">
        <v>0</v>
      </c>
      <c r="F5" s="38">
        <v>0</v>
      </c>
      <c r="G5" s="38">
        <v>0</v>
      </c>
      <c r="H5" s="38">
        <v>0</v>
      </c>
      <c r="I5" s="38">
        <v>1</v>
      </c>
      <c r="J5" s="38">
        <v>6</v>
      </c>
      <c r="K5" s="38">
        <v>5</v>
      </c>
      <c r="L5" s="38">
        <v>0</v>
      </c>
      <c r="M5" s="38">
        <v>0</v>
      </c>
      <c r="N5" s="38">
        <v>1</v>
      </c>
      <c r="O5" s="38">
        <v>1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1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3</v>
      </c>
      <c r="AF5" s="38">
        <v>0</v>
      </c>
      <c r="AG5" s="38">
        <v>0</v>
      </c>
      <c r="AH5" s="38">
        <v>0</v>
      </c>
      <c r="AI5" s="38"/>
      <c r="AJ5" s="87">
        <f t="shared" si="0"/>
        <v>18</v>
      </c>
    </row>
    <row r="6" spans="2:36" ht="16.5" thickTop="1" thickBot="1">
      <c r="B6" s="21" t="s">
        <v>1</v>
      </c>
      <c r="C6" s="2" t="s">
        <v>229</v>
      </c>
      <c r="D6" s="108" t="s">
        <v>93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1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  <c r="AG6" s="38">
        <v>0</v>
      </c>
      <c r="AH6" s="38">
        <v>0</v>
      </c>
      <c r="AI6" s="38"/>
      <c r="AJ6" s="87">
        <f t="shared" si="0"/>
        <v>1</v>
      </c>
    </row>
    <row r="7" spans="2:36" ht="16.5" thickTop="1" thickBot="1">
      <c r="B7" s="21" t="s">
        <v>1</v>
      </c>
      <c r="C7" s="107" t="s">
        <v>226</v>
      </c>
      <c r="D7" s="108" t="s">
        <v>227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  <c r="AG7" s="38">
        <v>0</v>
      </c>
      <c r="AH7" s="38">
        <v>0</v>
      </c>
      <c r="AI7" s="38"/>
      <c r="AJ7" s="87">
        <f>SUM(E7:AI7)</f>
        <v>0</v>
      </c>
    </row>
    <row r="8" spans="2:36" ht="16.5" thickTop="1" thickBot="1">
      <c r="B8" s="21" t="s">
        <v>1</v>
      </c>
      <c r="C8" s="2" t="s">
        <v>171</v>
      </c>
      <c r="D8" s="23" t="s">
        <v>170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  <c r="AG8" s="38">
        <v>0</v>
      </c>
      <c r="AH8" s="38">
        <v>0</v>
      </c>
      <c r="AI8" s="38"/>
      <c r="AJ8" s="87">
        <f>SUM(E8:AI8)</f>
        <v>0</v>
      </c>
    </row>
    <row r="9" spans="2:36" ht="16.5" thickTop="1" thickBot="1">
      <c r="B9" s="21" t="s">
        <v>3</v>
      </c>
      <c r="C9" s="2" t="s">
        <v>119</v>
      </c>
      <c r="D9" s="23" t="s">
        <v>94</v>
      </c>
      <c r="E9" s="38">
        <v>24</v>
      </c>
      <c r="F9" s="38">
        <v>19</v>
      </c>
      <c r="G9" s="38">
        <v>2</v>
      </c>
      <c r="H9" s="38">
        <v>0</v>
      </c>
      <c r="I9" s="38">
        <v>7</v>
      </c>
      <c r="J9" s="38">
        <v>85</v>
      </c>
      <c r="K9" s="38">
        <v>10</v>
      </c>
      <c r="L9" s="38">
        <v>4</v>
      </c>
      <c r="M9" s="38">
        <v>1</v>
      </c>
      <c r="N9" s="38">
        <v>71</v>
      </c>
      <c r="O9" s="38">
        <v>3</v>
      </c>
      <c r="P9" s="38">
        <v>18</v>
      </c>
      <c r="Q9" s="38">
        <v>5</v>
      </c>
      <c r="R9" s="38">
        <v>3</v>
      </c>
      <c r="S9" s="38">
        <v>4</v>
      </c>
      <c r="T9" s="38">
        <v>0</v>
      </c>
      <c r="U9" s="38">
        <v>50</v>
      </c>
      <c r="V9" s="38">
        <v>1</v>
      </c>
      <c r="W9" s="38">
        <v>6</v>
      </c>
      <c r="X9" s="38">
        <v>2</v>
      </c>
      <c r="Y9" s="38">
        <v>1</v>
      </c>
      <c r="Z9" s="38">
        <v>28</v>
      </c>
      <c r="AA9" s="38">
        <v>0</v>
      </c>
      <c r="AB9" s="38">
        <v>13</v>
      </c>
      <c r="AC9" s="38">
        <v>7</v>
      </c>
      <c r="AD9" s="38">
        <v>17</v>
      </c>
      <c r="AE9" s="38">
        <v>2</v>
      </c>
      <c r="AF9" s="38">
        <v>7</v>
      </c>
      <c r="AG9" s="38">
        <v>1</v>
      </c>
      <c r="AH9" s="38">
        <v>0</v>
      </c>
      <c r="AI9" s="38"/>
      <c r="AJ9" s="87">
        <f t="shared" si="0"/>
        <v>391</v>
      </c>
    </row>
    <row r="10" spans="2:36" ht="16.5" thickTop="1" thickBot="1">
      <c r="B10" s="21" t="s">
        <v>3</v>
      </c>
      <c r="C10" s="2" t="s">
        <v>125</v>
      </c>
      <c r="D10" s="23" t="s">
        <v>95</v>
      </c>
      <c r="E10" s="38">
        <v>6</v>
      </c>
      <c r="F10" s="38">
        <v>4</v>
      </c>
      <c r="G10" s="38">
        <v>0</v>
      </c>
      <c r="H10" s="38">
        <v>0</v>
      </c>
      <c r="I10" s="38">
        <v>2</v>
      </c>
      <c r="J10" s="38">
        <v>14</v>
      </c>
      <c r="K10" s="38">
        <v>8</v>
      </c>
      <c r="L10" s="38">
        <v>4</v>
      </c>
      <c r="M10" s="38">
        <v>0</v>
      </c>
      <c r="N10" s="38">
        <v>10</v>
      </c>
      <c r="O10" s="38">
        <v>0</v>
      </c>
      <c r="P10" s="38">
        <v>5</v>
      </c>
      <c r="Q10" s="38">
        <v>0</v>
      </c>
      <c r="R10" s="38">
        <v>0</v>
      </c>
      <c r="S10" s="38">
        <v>0</v>
      </c>
      <c r="T10" s="38">
        <v>0</v>
      </c>
      <c r="U10" s="38">
        <v>8</v>
      </c>
      <c r="V10" s="38">
        <v>1</v>
      </c>
      <c r="W10" s="38">
        <v>0</v>
      </c>
      <c r="X10" s="38">
        <v>0</v>
      </c>
      <c r="Y10" s="38">
        <v>0</v>
      </c>
      <c r="Z10" s="38">
        <v>4</v>
      </c>
      <c r="AA10" s="38">
        <v>0</v>
      </c>
      <c r="AB10" s="38">
        <v>5</v>
      </c>
      <c r="AC10" s="38">
        <v>0</v>
      </c>
      <c r="AD10" s="38">
        <v>0</v>
      </c>
      <c r="AE10" s="38">
        <v>1</v>
      </c>
      <c r="AF10" s="38">
        <v>1</v>
      </c>
      <c r="AG10" s="38">
        <v>0</v>
      </c>
      <c r="AH10" s="38">
        <v>0</v>
      </c>
      <c r="AI10" s="38"/>
      <c r="AJ10" s="87">
        <f t="shared" si="0"/>
        <v>73</v>
      </c>
    </row>
    <row r="11" spans="2:36" ht="16.5" thickTop="1" thickBot="1">
      <c r="B11" s="21" t="s">
        <v>3</v>
      </c>
      <c r="C11" s="2" t="s">
        <v>126</v>
      </c>
      <c r="D11" s="23" t="s">
        <v>96</v>
      </c>
      <c r="E11" s="38">
        <v>7</v>
      </c>
      <c r="F11" s="38">
        <v>5</v>
      </c>
      <c r="G11" s="38">
        <v>0</v>
      </c>
      <c r="H11" s="38">
        <v>0</v>
      </c>
      <c r="I11" s="38">
        <v>0</v>
      </c>
      <c r="J11" s="38">
        <v>33</v>
      </c>
      <c r="K11" s="38">
        <v>0</v>
      </c>
      <c r="L11" s="38">
        <v>1</v>
      </c>
      <c r="M11" s="38">
        <v>0</v>
      </c>
      <c r="N11" s="38">
        <v>28</v>
      </c>
      <c r="O11" s="38">
        <v>0</v>
      </c>
      <c r="P11" s="38">
        <v>7</v>
      </c>
      <c r="Q11" s="38">
        <v>1</v>
      </c>
      <c r="R11" s="38">
        <v>0</v>
      </c>
      <c r="S11" s="38">
        <v>0</v>
      </c>
      <c r="T11" s="38">
        <v>0</v>
      </c>
      <c r="U11" s="38">
        <v>27</v>
      </c>
      <c r="V11" s="38">
        <v>0</v>
      </c>
      <c r="W11" s="38">
        <v>0</v>
      </c>
      <c r="X11" s="38">
        <v>0</v>
      </c>
      <c r="Y11" s="38">
        <v>0</v>
      </c>
      <c r="Z11" s="38">
        <v>4</v>
      </c>
      <c r="AA11" s="38">
        <v>0</v>
      </c>
      <c r="AB11" s="38">
        <v>2</v>
      </c>
      <c r="AC11" s="38">
        <v>0</v>
      </c>
      <c r="AD11" s="38">
        <v>0</v>
      </c>
      <c r="AE11" s="38">
        <v>1</v>
      </c>
      <c r="AF11" s="38">
        <v>2</v>
      </c>
      <c r="AG11" s="38">
        <v>0</v>
      </c>
      <c r="AH11" s="38">
        <v>0</v>
      </c>
      <c r="AI11" s="38"/>
      <c r="AJ11" s="87">
        <f t="shared" si="0"/>
        <v>118</v>
      </c>
    </row>
    <row r="12" spans="2:36" ht="16.5" thickTop="1" thickBot="1">
      <c r="B12" s="21" t="s">
        <v>3</v>
      </c>
      <c r="C12" s="2" t="s">
        <v>6</v>
      </c>
      <c r="D12" s="23" t="s">
        <v>97</v>
      </c>
      <c r="E12" s="38">
        <v>13</v>
      </c>
      <c r="F12" s="38">
        <v>10</v>
      </c>
      <c r="G12" s="38">
        <v>1</v>
      </c>
      <c r="H12" s="38">
        <v>0</v>
      </c>
      <c r="I12" s="38">
        <v>5</v>
      </c>
      <c r="J12" s="38">
        <v>30</v>
      </c>
      <c r="K12" s="38">
        <v>4</v>
      </c>
      <c r="L12" s="38">
        <v>4</v>
      </c>
      <c r="M12" s="38">
        <v>1</v>
      </c>
      <c r="N12" s="38">
        <v>46</v>
      </c>
      <c r="O12" s="38">
        <v>0</v>
      </c>
      <c r="P12" s="38">
        <v>15</v>
      </c>
      <c r="Q12" s="38">
        <v>2</v>
      </c>
      <c r="R12" s="38">
        <v>1</v>
      </c>
      <c r="S12" s="38">
        <v>4</v>
      </c>
      <c r="T12" s="38">
        <v>0</v>
      </c>
      <c r="U12" s="38">
        <v>29</v>
      </c>
      <c r="V12" s="38">
        <v>1</v>
      </c>
      <c r="W12" s="38">
        <v>0</v>
      </c>
      <c r="X12" s="38">
        <v>3</v>
      </c>
      <c r="Y12" s="38">
        <v>0</v>
      </c>
      <c r="Z12" s="38">
        <v>9</v>
      </c>
      <c r="AA12" s="38">
        <v>0</v>
      </c>
      <c r="AB12" s="38">
        <v>8</v>
      </c>
      <c r="AC12" s="38">
        <v>3</v>
      </c>
      <c r="AD12" s="38">
        <v>3</v>
      </c>
      <c r="AE12" s="38">
        <v>0</v>
      </c>
      <c r="AF12" s="38">
        <v>3</v>
      </c>
      <c r="AG12" s="38">
        <v>1</v>
      </c>
      <c r="AH12" s="38">
        <v>0</v>
      </c>
      <c r="AI12" s="38"/>
      <c r="AJ12" s="87">
        <f t="shared" si="0"/>
        <v>196</v>
      </c>
    </row>
    <row r="13" spans="2:36" ht="16.5" thickTop="1" thickBot="1">
      <c r="B13" s="21" t="s">
        <v>3</v>
      </c>
      <c r="C13" s="2" t="s">
        <v>7</v>
      </c>
      <c r="D13" s="23" t="s">
        <v>98</v>
      </c>
      <c r="E13" s="38">
        <v>3</v>
      </c>
      <c r="F13" s="38">
        <v>7</v>
      </c>
      <c r="G13" s="38">
        <v>1</v>
      </c>
      <c r="H13" s="38">
        <v>0</v>
      </c>
      <c r="I13" s="38">
        <v>2</v>
      </c>
      <c r="J13" s="38">
        <v>24</v>
      </c>
      <c r="K13" s="38">
        <v>7</v>
      </c>
      <c r="L13" s="38">
        <v>3</v>
      </c>
      <c r="M13" s="38">
        <v>0</v>
      </c>
      <c r="N13" s="38">
        <v>23</v>
      </c>
      <c r="O13" s="38">
        <v>0</v>
      </c>
      <c r="P13" s="38">
        <v>7</v>
      </c>
      <c r="Q13" s="38">
        <v>1</v>
      </c>
      <c r="R13" s="38">
        <v>1</v>
      </c>
      <c r="S13" s="38">
        <v>1</v>
      </c>
      <c r="T13" s="38">
        <v>0</v>
      </c>
      <c r="U13" s="38">
        <v>14</v>
      </c>
      <c r="V13" s="38">
        <v>1</v>
      </c>
      <c r="W13" s="38">
        <v>0</v>
      </c>
      <c r="X13" s="38">
        <v>1</v>
      </c>
      <c r="Y13" s="38">
        <v>0</v>
      </c>
      <c r="Z13" s="38">
        <v>8</v>
      </c>
      <c r="AA13" s="38">
        <v>0</v>
      </c>
      <c r="AB13" s="38">
        <v>6</v>
      </c>
      <c r="AC13" s="38">
        <v>1</v>
      </c>
      <c r="AD13" s="38">
        <v>1</v>
      </c>
      <c r="AE13" s="38">
        <v>0</v>
      </c>
      <c r="AF13" s="38">
        <v>3</v>
      </c>
      <c r="AG13" s="38">
        <v>0</v>
      </c>
      <c r="AH13" s="38">
        <v>0</v>
      </c>
      <c r="AI13" s="38"/>
      <c r="AJ13" s="87">
        <f t="shared" si="0"/>
        <v>115</v>
      </c>
    </row>
    <row r="14" spans="2:36" ht="16.5" thickTop="1" thickBot="1">
      <c r="B14" s="21" t="s">
        <v>3</v>
      </c>
      <c r="C14" s="2" t="s">
        <v>8</v>
      </c>
      <c r="D14" s="23" t="s">
        <v>99</v>
      </c>
      <c r="E14" s="38">
        <v>3</v>
      </c>
      <c r="F14" s="38">
        <v>2</v>
      </c>
      <c r="G14" s="38">
        <v>0</v>
      </c>
      <c r="H14" s="38">
        <v>0</v>
      </c>
      <c r="I14" s="38">
        <v>0</v>
      </c>
      <c r="J14" s="38">
        <v>9</v>
      </c>
      <c r="K14" s="38">
        <v>0</v>
      </c>
      <c r="L14" s="38">
        <v>0</v>
      </c>
      <c r="M14" s="38">
        <v>0</v>
      </c>
      <c r="N14" s="38">
        <v>12</v>
      </c>
      <c r="O14" s="38">
        <v>0</v>
      </c>
      <c r="P14" s="38">
        <v>3</v>
      </c>
      <c r="Q14" s="38">
        <v>0</v>
      </c>
      <c r="R14" s="38">
        <v>0</v>
      </c>
      <c r="S14" s="38">
        <v>0</v>
      </c>
      <c r="T14" s="38">
        <v>0</v>
      </c>
      <c r="U14" s="38">
        <v>16</v>
      </c>
      <c r="V14" s="38">
        <v>0</v>
      </c>
      <c r="W14" s="38">
        <v>0</v>
      </c>
      <c r="X14" s="38">
        <v>0</v>
      </c>
      <c r="Y14" s="38">
        <v>0</v>
      </c>
      <c r="Z14" s="38">
        <v>2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2</v>
      </c>
      <c r="AG14" s="38">
        <v>0</v>
      </c>
      <c r="AH14" s="38">
        <v>0</v>
      </c>
      <c r="AI14" s="38"/>
      <c r="AJ14" s="87">
        <f t="shared" si="0"/>
        <v>49</v>
      </c>
    </row>
    <row r="15" spans="2:36" ht="16.5" thickTop="1" thickBot="1">
      <c r="B15" s="21" t="s">
        <v>3</v>
      </c>
      <c r="C15" s="2" t="s">
        <v>123</v>
      </c>
      <c r="D15" s="25" t="s">
        <v>116</v>
      </c>
      <c r="E15" s="38">
        <v>2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19</v>
      </c>
      <c r="O15" s="38">
        <v>0</v>
      </c>
      <c r="P15" s="38">
        <v>9</v>
      </c>
      <c r="Q15" s="38">
        <v>1</v>
      </c>
      <c r="R15" s="38">
        <v>0</v>
      </c>
      <c r="S15" s="38">
        <v>1</v>
      </c>
      <c r="T15" s="38">
        <v>0</v>
      </c>
      <c r="U15" s="38">
        <v>191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4</v>
      </c>
      <c r="AC15" s="38">
        <v>0</v>
      </c>
      <c r="AD15" s="38">
        <v>3</v>
      </c>
      <c r="AE15" s="38">
        <v>0</v>
      </c>
      <c r="AF15" s="38">
        <v>0</v>
      </c>
      <c r="AG15" s="38">
        <v>0</v>
      </c>
      <c r="AH15" s="38">
        <v>0</v>
      </c>
      <c r="AI15" s="38"/>
      <c r="AJ15" s="87">
        <f t="shared" si="0"/>
        <v>230</v>
      </c>
    </row>
    <row r="16" spans="2:36" ht="16.5" thickTop="1" thickBot="1">
      <c r="B16" s="21" t="s">
        <v>9</v>
      </c>
      <c r="C16" s="2" t="s">
        <v>10</v>
      </c>
      <c r="D16" s="23" t="s">
        <v>100</v>
      </c>
      <c r="E16" s="38">
        <v>7</v>
      </c>
      <c r="F16" s="38">
        <v>1</v>
      </c>
      <c r="G16" s="38">
        <v>2</v>
      </c>
      <c r="H16" s="38">
        <v>0</v>
      </c>
      <c r="I16" s="38">
        <v>3</v>
      </c>
      <c r="J16" s="38">
        <v>9</v>
      </c>
      <c r="K16" s="38">
        <v>30</v>
      </c>
      <c r="L16" s="38">
        <v>0</v>
      </c>
      <c r="M16" s="38">
        <v>0</v>
      </c>
      <c r="N16" s="38">
        <v>3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18</v>
      </c>
      <c r="V16" s="38">
        <v>0</v>
      </c>
      <c r="W16" s="38">
        <v>0</v>
      </c>
      <c r="X16" s="38">
        <v>0</v>
      </c>
      <c r="Y16" s="38">
        <v>0</v>
      </c>
      <c r="Z16" s="38">
        <v>5</v>
      </c>
      <c r="AA16" s="38">
        <v>10</v>
      </c>
      <c r="AB16" s="38">
        <v>2</v>
      </c>
      <c r="AC16" s="38">
        <v>1</v>
      </c>
      <c r="AD16" s="38">
        <v>1</v>
      </c>
      <c r="AE16" s="38">
        <v>5</v>
      </c>
      <c r="AF16" s="38">
        <v>0</v>
      </c>
      <c r="AG16" s="38">
        <v>0</v>
      </c>
      <c r="AH16" s="38">
        <v>0</v>
      </c>
      <c r="AI16" s="38"/>
      <c r="AJ16" s="87">
        <f t="shared" si="0"/>
        <v>97</v>
      </c>
    </row>
    <row r="17" spans="2:37" ht="16.5" thickTop="1" thickBot="1">
      <c r="B17" s="21" t="s">
        <v>9</v>
      </c>
      <c r="C17" s="2" t="s">
        <v>11</v>
      </c>
      <c r="D17" s="23" t="s">
        <v>101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1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1</v>
      </c>
      <c r="AF17" s="38">
        <v>0</v>
      </c>
      <c r="AG17" s="38">
        <v>0</v>
      </c>
      <c r="AH17" s="38">
        <v>0</v>
      </c>
      <c r="AI17" s="38"/>
      <c r="AJ17" s="87">
        <f t="shared" si="0"/>
        <v>2</v>
      </c>
    </row>
    <row r="18" spans="2:37" ht="16.5" thickTop="1" thickBot="1">
      <c r="B18" s="21" t="s">
        <v>12</v>
      </c>
      <c r="C18" s="2" t="s">
        <v>13</v>
      </c>
      <c r="D18" s="23" t="s">
        <v>102</v>
      </c>
      <c r="E18" s="38">
        <v>0</v>
      </c>
      <c r="F18" s="38">
        <v>3</v>
      </c>
      <c r="G18" s="38">
        <v>0</v>
      </c>
      <c r="H18" s="38">
        <v>3</v>
      </c>
      <c r="I18" s="38">
        <v>0</v>
      </c>
      <c r="J18" s="38">
        <v>27</v>
      </c>
      <c r="K18" s="38">
        <v>5</v>
      </c>
      <c r="L18" s="38">
        <v>1</v>
      </c>
      <c r="M18" s="38">
        <v>18</v>
      </c>
      <c r="N18" s="38">
        <v>37</v>
      </c>
      <c r="O18" s="38">
        <v>1</v>
      </c>
      <c r="P18" s="38">
        <v>39</v>
      </c>
      <c r="Q18" s="38">
        <v>0</v>
      </c>
      <c r="R18" s="38">
        <v>0</v>
      </c>
      <c r="S18" s="38">
        <v>0</v>
      </c>
      <c r="T18" s="38">
        <v>0</v>
      </c>
      <c r="U18" s="38">
        <v>8</v>
      </c>
      <c r="V18" s="38">
        <v>3</v>
      </c>
      <c r="W18" s="38">
        <v>2</v>
      </c>
      <c r="X18" s="38">
        <v>0</v>
      </c>
      <c r="Y18" s="38">
        <v>0</v>
      </c>
      <c r="Z18" s="38">
        <v>7</v>
      </c>
      <c r="AA18" s="38">
        <v>0</v>
      </c>
      <c r="AB18" s="38">
        <v>4</v>
      </c>
      <c r="AC18" s="38">
        <v>5</v>
      </c>
      <c r="AD18" s="38">
        <v>19</v>
      </c>
      <c r="AE18" s="38">
        <v>7</v>
      </c>
      <c r="AF18" s="38">
        <v>1</v>
      </c>
      <c r="AG18" s="38">
        <v>0</v>
      </c>
      <c r="AH18" s="38">
        <v>0</v>
      </c>
      <c r="AI18" s="38"/>
      <c r="AJ18" s="87">
        <f t="shared" si="0"/>
        <v>190</v>
      </c>
    </row>
    <row r="19" spans="2:37" ht="16.5" thickTop="1" thickBot="1">
      <c r="B19" s="21" t="s">
        <v>30</v>
      </c>
      <c r="C19" s="40" t="s">
        <v>130</v>
      </c>
      <c r="D19" s="41" t="s">
        <v>103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1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0</v>
      </c>
      <c r="AH19" s="38">
        <v>0</v>
      </c>
      <c r="AI19" s="38"/>
      <c r="AJ19" s="87">
        <f t="shared" si="0"/>
        <v>1</v>
      </c>
    </row>
    <row r="20" spans="2:37" ht="16.5" thickTop="1" thickBot="1">
      <c r="B20" s="21" t="s">
        <v>29</v>
      </c>
      <c r="C20" s="2" t="s">
        <v>24</v>
      </c>
      <c r="D20" s="2">
        <v>35</v>
      </c>
      <c r="E20" s="38">
        <v>1</v>
      </c>
      <c r="F20" s="38">
        <v>0</v>
      </c>
      <c r="G20" s="38">
        <v>0</v>
      </c>
      <c r="H20" s="38">
        <v>0</v>
      </c>
      <c r="I20" s="38">
        <v>0</v>
      </c>
      <c r="J20" s="38">
        <v>4</v>
      </c>
      <c r="K20" s="38">
        <v>0</v>
      </c>
      <c r="L20" s="38">
        <v>0</v>
      </c>
      <c r="M20" s="38">
        <v>0</v>
      </c>
      <c r="N20" s="38">
        <v>1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1</v>
      </c>
      <c r="AF20" s="38">
        <v>0</v>
      </c>
      <c r="AG20" s="38">
        <v>0</v>
      </c>
      <c r="AH20" s="38">
        <v>0</v>
      </c>
      <c r="AI20" s="38"/>
      <c r="AJ20" s="87">
        <f t="shared" si="0"/>
        <v>7</v>
      </c>
    </row>
    <row r="21" spans="2:37" ht="16.5" thickTop="1" thickBot="1">
      <c r="B21" s="21" t="s">
        <v>29</v>
      </c>
      <c r="C21" s="2" t="s">
        <v>173</v>
      </c>
      <c r="D21" s="77" t="s">
        <v>104</v>
      </c>
      <c r="E21" s="38">
        <v>0</v>
      </c>
      <c r="F21" s="38">
        <v>0</v>
      </c>
      <c r="G21" s="38">
        <v>0</v>
      </c>
      <c r="H21" s="38">
        <v>0</v>
      </c>
      <c r="I21" s="38">
        <v>1</v>
      </c>
      <c r="J21" s="38">
        <v>0</v>
      </c>
      <c r="K21" s="38">
        <v>0</v>
      </c>
      <c r="L21" s="38">
        <v>0</v>
      </c>
      <c r="M21" s="38">
        <v>0</v>
      </c>
      <c r="N21" s="38">
        <v>6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  <c r="AG21" s="38">
        <v>0</v>
      </c>
      <c r="AH21" s="38">
        <v>0</v>
      </c>
      <c r="AI21" s="38"/>
      <c r="AJ21" s="87">
        <f t="shared" si="0"/>
        <v>7</v>
      </c>
    </row>
    <row r="22" spans="2:37" ht="15" customHeight="1" thickTop="1" thickBot="1">
      <c r="B22" s="21" t="s">
        <v>16</v>
      </c>
      <c r="C22" s="2" t="s">
        <v>26</v>
      </c>
      <c r="D22" s="23" t="s">
        <v>105</v>
      </c>
      <c r="E22" s="38">
        <v>1</v>
      </c>
      <c r="F22" s="38">
        <v>0</v>
      </c>
      <c r="G22" s="38">
        <v>0</v>
      </c>
      <c r="H22" s="38">
        <v>0</v>
      </c>
      <c r="I22" s="38">
        <v>6</v>
      </c>
      <c r="J22" s="38">
        <v>1</v>
      </c>
      <c r="K22" s="38">
        <v>55</v>
      </c>
      <c r="L22" s="38">
        <v>0</v>
      </c>
      <c r="M22" s="38">
        <v>0</v>
      </c>
      <c r="N22" s="38">
        <v>1</v>
      </c>
      <c r="O22" s="38">
        <v>1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5</v>
      </c>
      <c r="V22" s="38">
        <v>0</v>
      </c>
      <c r="W22" s="38">
        <v>0</v>
      </c>
      <c r="X22" s="38">
        <v>0</v>
      </c>
      <c r="Y22" s="38">
        <v>0</v>
      </c>
      <c r="Z22" s="38">
        <v>1</v>
      </c>
      <c r="AA22" s="38">
        <v>1</v>
      </c>
      <c r="AB22" s="38">
        <v>1</v>
      </c>
      <c r="AC22" s="38">
        <v>0</v>
      </c>
      <c r="AD22" s="38">
        <v>9</v>
      </c>
      <c r="AE22" s="38">
        <v>1</v>
      </c>
      <c r="AF22" s="38">
        <v>0</v>
      </c>
      <c r="AG22" s="38">
        <v>0</v>
      </c>
      <c r="AH22" s="38">
        <v>0</v>
      </c>
      <c r="AI22" s="38"/>
      <c r="AJ22" s="87">
        <f t="shared" si="0"/>
        <v>83</v>
      </c>
    </row>
    <row r="23" spans="2:37" ht="25.5" thickTop="1" thickBot="1">
      <c r="B23" s="21" t="s">
        <v>16</v>
      </c>
      <c r="C23" s="2" t="s">
        <v>25</v>
      </c>
      <c r="D23" s="23" t="s">
        <v>106</v>
      </c>
      <c r="E23" s="38">
        <v>2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G23" s="38">
        <v>0</v>
      </c>
      <c r="AH23" s="38">
        <v>0</v>
      </c>
      <c r="AI23" s="38"/>
      <c r="AJ23" s="87">
        <f t="shared" si="0"/>
        <v>2</v>
      </c>
    </row>
    <row r="24" spans="2:37" ht="16.5" thickTop="1" thickBot="1">
      <c r="B24" s="21" t="s">
        <v>17</v>
      </c>
      <c r="C24" s="2" t="s">
        <v>181</v>
      </c>
      <c r="D24" s="23" t="s">
        <v>107</v>
      </c>
      <c r="E24" s="38">
        <v>0</v>
      </c>
      <c r="F24" s="38">
        <v>1</v>
      </c>
      <c r="G24" s="38">
        <v>0</v>
      </c>
      <c r="H24" s="38">
        <v>0</v>
      </c>
      <c r="I24" s="38">
        <v>0</v>
      </c>
      <c r="J24" s="38">
        <v>0</v>
      </c>
      <c r="K24" s="38">
        <v>1</v>
      </c>
      <c r="L24" s="38">
        <v>0</v>
      </c>
      <c r="M24" s="38">
        <v>0</v>
      </c>
      <c r="N24" s="38">
        <v>3</v>
      </c>
      <c r="O24" s="38">
        <v>0</v>
      </c>
      <c r="P24" s="38">
        <v>5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G24" s="38">
        <v>0</v>
      </c>
      <c r="AH24" s="38">
        <v>0</v>
      </c>
      <c r="AI24" s="38"/>
      <c r="AJ24" s="87">
        <f t="shared" si="0"/>
        <v>10</v>
      </c>
    </row>
    <row r="25" spans="2:37" ht="16.5" thickTop="1" thickBot="1">
      <c r="B25" s="21" t="s">
        <v>19</v>
      </c>
      <c r="C25" s="2" t="s">
        <v>20</v>
      </c>
      <c r="D25" s="23" t="s">
        <v>108</v>
      </c>
      <c r="E25" s="38">
        <v>2</v>
      </c>
      <c r="F25" s="38">
        <v>4</v>
      </c>
      <c r="G25" s="38">
        <v>0</v>
      </c>
      <c r="H25" s="38">
        <v>0</v>
      </c>
      <c r="I25" s="38">
        <v>4</v>
      </c>
      <c r="J25" s="38">
        <v>51</v>
      </c>
      <c r="K25" s="38">
        <v>0</v>
      </c>
      <c r="L25" s="38">
        <v>0</v>
      </c>
      <c r="M25" s="38">
        <v>0</v>
      </c>
      <c r="N25" s="38">
        <v>10</v>
      </c>
      <c r="O25" s="38">
        <v>1</v>
      </c>
      <c r="P25" s="38">
        <v>10</v>
      </c>
      <c r="Q25" s="38">
        <v>0</v>
      </c>
      <c r="R25" s="38">
        <v>0</v>
      </c>
      <c r="S25" s="38">
        <v>1</v>
      </c>
      <c r="T25" s="38">
        <v>0</v>
      </c>
      <c r="U25" s="38">
        <v>6</v>
      </c>
      <c r="V25" s="38">
        <v>0</v>
      </c>
      <c r="W25" s="38">
        <v>0</v>
      </c>
      <c r="X25" s="38">
        <v>0</v>
      </c>
      <c r="Y25" s="38">
        <v>0</v>
      </c>
      <c r="Z25" s="38">
        <v>22</v>
      </c>
      <c r="AA25" s="38">
        <v>0</v>
      </c>
      <c r="AB25" s="38">
        <v>1</v>
      </c>
      <c r="AC25" s="38">
        <v>0</v>
      </c>
      <c r="AD25" s="38">
        <v>0</v>
      </c>
      <c r="AE25" s="38">
        <v>13</v>
      </c>
      <c r="AF25" s="38">
        <v>0</v>
      </c>
      <c r="AG25" s="38">
        <v>0</v>
      </c>
      <c r="AH25" s="38">
        <v>0</v>
      </c>
      <c r="AI25" s="38"/>
      <c r="AJ25" s="87">
        <f t="shared" si="0"/>
        <v>125</v>
      </c>
    </row>
    <row r="26" spans="2:37" ht="16.5" thickTop="1" thickBot="1">
      <c r="B26" s="21" t="s">
        <v>21</v>
      </c>
      <c r="C26" s="2" t="s">
        <v>128</v>
      </c>
      <c r="D26" s="23" t="s">
        <v>111</v>
      </c>
      <c r="E26" s="38">
        <v>8</v>
      </c>
      <c r="F26" s="38">
        <v>3</v>
      </c>
      <c r="G26" s="38">
        <v>0</v>
      </c>
      <c r="H26" s="38">
        <v>0</v>
      </c>
      <c r="I26" s="38">
        <v>2</v>
      </c>
      <c r="J26" s="38">
        <v>25</v>
      </c>
      <c r="K26" s="38">
        <v>0</v>
      </c>
      <c r="L26" s="38">
        <v>0</v>
      </c>
      <c r="M26" s="38">
        <v>0</v>
      </c>
      <c r="N26" s="38">
        <v>4</v>
      </c>
      <c r="O26" s="38">
        <v>2</v>
      </c>
      <c r="P26" s="38">
        <v>7</v>
      </c>
      <c r="Q26" s="38">
        <v>0</v>
      </c>
      <c r="R26" s="38">
        <v>0</v>
      </c>
      <c r="S26" s="38">
        <v>0</v>
      </c>
      <c r="T26" s="38">
        <v>0</v>
      </c>
      <c r="U26" s="38">
        <v>4</v>
      </c>
      <c r="V26" s="38">
        <v>0</v>
      </c>
      <c r="W26" s="38">
        <v>0</v>
      </c>
      <c r="X26" s="38">
        <v>0</v>
      </c>
      <c r="Y26" s="38">
        <v>0</v>
      </c>
      <c r="Z26" s="38">
        <v>3</v>
      </c>
      <c r="AA26" s="38">
        <v>2</v>
      </c>
      <c r="AB26" s="38">
        <v>1</v>
      </c>
      <c r="AC26" s="38">
        <v>2</v>
      </c>
      <c r="AD26" s="38">
        <v>0</v>
      </c>
      <c r="AE26" s="38">
        <v>7</v>
      </c>
      <c r="AF26" s="38">
        <v>1</v>
      </c>
      <c r="AG26" s="38">
        <v>0</v>
      </c>
      <c r="AH26" s="38">
        <v>0</v>
      </c>
      <c r="AI26" s="38"/>
      <c r="AJ26" s="87">
        <f t="shared" si="0"/>
        <v>71</v>
      </c>
    </row>
    <row r="27" spans="2:37" ht="16.5" thickTop="1" thickBot="1">
      <c r="B27" s="21" t="s">
        <v>21</v>
      </c>
      <c r="C27" s="2" t="s">
        <v>129</v>
      </c>
      <c r="D27" s="23" t="s">
        <v>112</v>
      </c>
      <c r="E27" s="38">
        <v>1</v>
      </c>
      <c r="F27" s="38">
        <v>4</v>
      </c>
      <c r="G27" s="38">
        <v>1</v>
      </c>
      <c r="H27" s="38">
        <v>0</v>
      </c>
      <c r="I27" s="38">
        <v>2</v>
      </c>
      <c r="J27" s="38">
        <v>82</v>
      </c>
      <c r="K27" s="38">
        <v>1</v>
      </c>
      <c r="L27" s="38">
        <v>0</v>
      </c>
      <c r="M27" s="38">
        <v>0</v>
      </c>
      <c r="N27" s="38">
        <v>26</v>
      </c>
      <c r="O27" s="38">
        <v>0</v>
      </c>
      <c r="P27" s="38">
        <v>15</v>
      </c>
      <c r="Q27" s="38">
        <v>5</v>
      </c>
      <c r="R27" s="38">
        <v>1</v>
      </c>
      <c r="S27" s="38">
        <v>1</v>
      </c>
      <c r="T27" s="38">
        <v>0</v>
      </c>
      <c r="U27" s="38">
        <v>41</v>
      </c>
      <c r="V27" s="38">
        <v>1</v>
      </c>
      <c r="W27" s="38">
        <v>0</v>
      </c>
      <c r="X27" s="38">
        <v>0</v>
      </c>
      <c r="Y27" s="38">
        <v>0</v>
      </c>
      <c r="Z27" s="38">
        <v>3</v>
      </c>
      <c r="AA27" s="38">
        <v>0</v>
      </c>
      <c r="AB27" s="38">
        <v>12</v>
      </c>
      <c r="AC27" s="38">
        <v>7</v>
      </c>
      <c r="AD27" s="38">
        <v>9</v>
      </c>
      <c r="AE27" s="38">
        <v>7</v>
      </c>
      <c r="AF27" s="38">
        <v>3</v>
      </c>
      <c r="AG27" s="38">
        <v>0</v>
      </c>
      <c r="AH27" s="38">
        <v>0</v>
      </c>
      <c r="AI27" s="38"/>
      <c r="AJ27" s="87">
        <f t="shared" si="0"/>
        <v>222</v>
      </c>
      <c r="AK27" s="1"/>
    </row>
    <row r="28" spans="2:37" ht="25.5" thickTop="1" thickBot="1">
      <c r="B28" s="21" t="s">
        <v>21</v>
      </c>
      <c r="C28" s="79" t="s">
        <v>131</v>
      </c>
      <c r="D28" s="41" t="s">
        <v>132</v>
      </c>
      <c r="E28" s="38">
        <v>41</v>
      </c>
      <c r="F28" s="38">
        <v>1</v>
      </c>
      <c r="G28" s="38">
        <v>0</v>
      </c>
      <c r="H28" s="38">
        <v>0</v>
      </c>
      <c r="I28" s="38">
        <v>5</v>
      </c>
      <c r="J28" s="38">
        <v>28</v>
      </c>
      <c r="K28" s="38">
        <v>1</v>
      </c>
      <c r="L28" s="38">
        <v>0</v>
      </c>
      <c r="M28" s="38">
        <v>0</v>
      </c>
      <c r="N28" s="38">
        <v>0</v>
      </c>
      <c r="O28" s="38">
        <v>0</v>
      </c>
      <c r="P28" s="38">
        <v>2</v>
      </c>
      <c r="Q28" s="38">
        <v>0</v>
      </c>
      <c r="R28" s="38">
        <v>1</v>
      </c>
      <c r="S28" s="38">
        <v>0</v>
      </c>
      <c r="T28" s="38">
        <v>0</v>
      </c>
      <c r="U28" s="38">
        <v>3</v>
      </c>
      <c r="V28" s="38">
        <v>1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6</v>
      </c>
      <c r="AC28" s="38">
        <v>1</v>
      </c>
      <c r="AD28" s="38">
        <v>1</v>
      </c>
      <c r="AE28" s="38">
        <v>1</v>
      </c>
      <c r="AF28" s="38">
        <v>0</v>
      </c>
      <c r="AG28" s="38">
        <v>1</v>
      </c>
      <c r="AH28" s="38">
        <v>0</v>
      </c>
      <c r="AI28" s="38"/>
      <c r="AJ28" s="87">
        <f t="shared" si="0"/>
        <v>93</v>
      </c>
    </row>
    <row r="29" spans="2:37" ht="17.649999999999999" customHeight="1" thickTop="1" thickBot="1">
      <c r="B29" s="21" t="s">
        <v>27</v>
      </c>
      <c r="C29" s="2" t="s">
        <v>28</v>
      </c>
      <c r="D29" s="23" t="s">
        <v>113</v>
      </c>
      <c r="E29" s="38">
        <v>182</v>
      </c>
      <c r="F29" s="38">
        <v>2</v>
      </c>
      <c r="G29" s="38">
        <v>0</v>
      </c>
      <c r="H29" s="38">
        <v>0</v>
      </c>
      <c r="I29" s="38">
        <v>3</v>
      </c>
      <c r="J29" s="38">
        <v>22</v>
      </c>
      <c r="K29" s="38">
        <v>2</v>
      </c>
      <c r="L29" s="38">
        <v>0</v>
      </c>
      <c r="M29" s="38">
        <v>0</v>
      </c>
      <c r="N29" s="38">
        <v>59</v>
      </c>
      <c r="O29" s="38">
        <v>1</v>
      </c>
      <c r="P29" s="38">
        <v>338</v>
      </c>
      <c r="Q29" s="38">
        <v>10</v>
      </c>
      <c r="R29" s="38">
        <v>0</v>
      </c>
      <c r="S29" s="38">
        <v>0</v>
      </c>
      <c r="T29" s="38">
        <v>0</v>
      </c>
      <c r="U29" s="38">
        <v>75</v>
      </c>
      <c r="V29" s="38">
        <v>0</v>
      </c>
      <c r="W29" s="38">
        <v>1</v>
      </c>
      <c r="X29" s="38">
        <v>0</v>
      </c>
      <c r="Y29" s="38">
        <v>5</v>
      </c>
      <c r="Z29" s="38">
        <v>3</v>
      </c>
      <c r="AA29" s="38">
        <v>0</v>
      </c>
      <c r="AB29" s="38">
        <v>0</v>
      </c>
      <c r="AC29" s="38">
        <v>6</v>
      </c>
      <c r="AD29" s="38">
        <v>2</v>
      </c>
      <c r="AE29" s="38">
        <v>0</v>
      </c>
      <c r="AF29" s="38">
        <v>67</v>
      </c>
      <c r="AG29" s="38">
        <v>0</v>
      </c>
      <c r="AH29" s="38">
        <v>0</v>
      </c>
      <c r="AI29" s="38"/>
      <c r="AJ29" s="87">
        <f t="shared" si="0"/>
        <v>778</v>
      </c>
    </row>
    <row r="30" spans="2:37" ht="16.5" thickTop="1" thickBot="1">
      <c r="B30" s="11"/>
      <c r="C30" s="12" t="s">
        <v>62</v>
      </c>
      <c r="D30" s="12"/>
      <c r="E30" s="43">
        <f>SUM(Table138[AT])</f>
        <v>311</v>
      </c>
      <c r="F30" s="43">
        <f>SUM(Table138[BE])</f>
        <v>68</v>
      </c>
      <c r="G30" s="43">
        <f>SUM(Table138[BG])</f>
        <v>8</v>
      </c>
      <c r="H30" s="43">
        <f>SUM(Table138[CY])</f>
        <v>3</v>
      </c>
      <c r="I30" s="43">
        <f>SUM(Table138[CZ])</f>
        <v>43</v>
      </c>
      <c r="J30" s="43">
        <f>SUM(Table138[DE])</f>
        <v>467</v>
      </c>
      <c r="K30" s="43">
        <f>SUM(Table138[DK])</f>
        <v>130</v>
      </c>
      <c r="L30" s="43">
        <f>SUM(Table138[EE])</f>
        <v>21</v>
      </c>
      <c r="M30" s="43">
        <f>SUM(Table138[EL])</f>
        <v>20</v>
      </c>
      <c r="N30" s="43">
        <f>SUM(Table138[ES])</f>
        <v>377</v>
      </c>
      <c r="O30" s="43">
        <f>SUM(Table138[FI])</f>
        <v>11</v>
      </c>
      <c r="P30" s="43">
        <f>SUM(Table138[FR])</f>
        <v>490</v>
      </c>
      <c r="Q30" s="43">
        <f>SUM(Table138[[HR ]])</f>
        <v>26</v>
      </c>
      <c r="R30" s="43">
        <f>SUM(Table138[HU])</f>
        <v>7</v>
      </c>
      <c r="S30" s="43">
        <f>SUM(Table138[IE])</f>
        <v>19</v>
      </c>
      <c r="T30" s="43">
        <f>SUM(Table138[IS])</f>
        <v>0</v>
      </c>
      <c r="U30" s="43">
        <f>SUM(Table138[IT])</f>
        <v>515</v>
      </c>
      <c r="V30" s="43">
        <f>SUM(Table138[LT])</f>
        <v>9</v>
      </c>
      <c r="W30" s="43">
        <f>SUM(Table138[LU])</f>
        <v>9</v>
      </c>
      <c r="X30" s="43">
        <f>SUM(Table138[LV])</f>
        <v>6</v>
      </c>
      <c r="Y30" s="43">
        <f>SUM(Table138[MT])</f>
        <v>6</v>
      </c>
      <c r="Z30" s="43">
        <f>SUM(Table138[NL])</f>
        <v>106</v>
      </c>
      <c r="AA30" s="43">
        <f>SUM(Table138[NO])</f>
        <v>13</v>
      </c>
      <c r="AB30" s="43">
        <f>SUM(Table138[PL])</f>
        <v>67</v>
      </c>
      <c r="AC30" s="43">
        <f>SUM(Table138[PT])</f>
        <v>34</v>
      </c>
      <c r="AD30" s="43">
        <f>SUM(Table138[RO])</f>
        <v>70</v>
      </c>
      <c r="AE30" s="43">
        <f>SUM(Table138[SE])</f>
        <v>53</v>
      </c>
      <c r="AF30" s="43">
        <f>SUM(Table138[SI])</f>
        <v>91</v>
      </c>
      <c r="AG30" s="43">
        <f>SUM(Table138[SK])</f>
        <v>3</v>
      </c>
      <c r="AH30" s="43">
        <f>SUM(Table138[GBNIR])</f>
        <v>0</v>
      </c>
      <c r="AI30" s="19"/>
      <c r="AJ30" s="13">
        <f>SUM(AJ4:AJ29)+AJ31</f>
        <v>2983</v>
      </c>
      <c r="AK30" s="28"/>
    </row>
    <row r="31" spans="2:37" ht="16.5" customHeight="1" thickTop="1"/>
    <row r="32" spans="2:37" ht="15.75" thickBot="1">
      <c r="AJ32" s="28"/>
    </row>
    <row r="33" spans="2:37" ht="16.5" thickTop="1" thickBot="1">
      <c r="B33" s="5" t="s">
        <v>63</v>
      </c>
      <c r="C33" s="6"/>
      <c r="D33" s="6"/>
      <c r="E33" s="7"/>
      <c r="F33" s="7"/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9"/>
    </row>
    <row r="34" spans="2:37" ht="16.5" thickTop="1" thickBot="1">
      <c r="B34" s="3" t="s">
        <v>91</v>
      </c>
      <c r="C34" s="3" t="s">
        <v>0</v>
      </c>
      <c r="D34" s="3" t="s">
        <v>114</v>
      </c>
      <c r="E34" s="20" t="s">
        <v>35</v>
      </c>
      <c r="F34" s="20" t="s">
        <v>36</v>
      </c>
      <c r="G34" s="20" t="s">
        <v>37</v>
      </c>
      <c r="H34" s="20" t="s">
        <v>39</v>
      </c>
      <c r="I34" s="20" t="s">
        <v>33</v>
      </c>
      <c r="J34" s="20" t="s">
        <v>44</v>
      </c>
      <c r="K34" s="20" t="s">
        <v>40</v>
      </c>
      <c r="L34" s="20" t="s">
        <v>41</v>
      </c>
      <c r="M34" s="20" t="s">
        <v>135</v>
      </c>
      <c r="N34" s="20" t="s">
        <v>59</v>
      </c>
      <c r="O34" s="20" t="s">
        <v>42</v>
      </c>
      <c r="P34" s="20" t="s">
        <v>43</v>
      </c>
      <c r="Q34" s="20" t="s">
        <v>38</v>
      </c>
      <c r="R34" s="20" t="s">
        <v>45</v>
      </c>
      <c r="S34" s="20" t="s">
        <v>47</v>
      </c>
      <c r="T34" s="20" t="s">
        <v>46</v>
      </c>
      <c r="U34" s="20" t="s">
        <v>48</v>
      </c>
      <c r="V34" s="20" t="s">
        <v>50</v>
      </c>
      <c r="W34" s="20" t="s">
        <v>51</v>
      </c>
      <c r="X34" s="20" t="s">
        <v>49</v>
      </c>
      <c r="Y34" s="20" t="s">
        <v>52</v>
      </c>
      <c r="Z34" s="20" t="s">
        <v>53</v>
      </c>
      <c r="AA34" s="20" t="s">
        <v>54</v>
      </c>
      <c r="AB34" s="20" t="s">
        <v>121</v>
      </c>
      <c r="AC34" s="20" t="s">
        <v>55</v>
      </c>
      <c r="AD34" s="20" t="s">
        <v>56</v>
      </c>
      <c r="AE34" s="20" t="s">
        <v>60</v>
      </c>
      <c r="AF34" s="20" t="s">
        <v>58</v>
      </c>
      <c r="AG34" s="20" t="s">
        <v>57</v>
      </c>
      <c r="AH34" s="45" t="s">
        <v>169</v>
      </c>
      <c r="AI34" s="45" t="s">
        <v>138</v>
      </c>
      <c r="AJ34" s="15" t="s">
        <v>61</v>
      </c>
    </row>
    <row r="35" spans="2:37" ht="16.5" thickTop="1" thickBot="1">
      <c r="B35" s="21" t="s">
        <v>1</v>
      </c>
      <c r="C35" s="76" t="s">
        <v>172</v>
      </c>
      <c r="D35" s="77" t="s">
        <v>92</v>
      </c>
      <c r="E35" s="38">
        <f>'[2]1 RawCompil CB September 2024'!F4</f>
        <v>40</v>
      </c>
      <c r="F35" s="38">
        <f>'[2]1 RawCompil CB September 2024'!F33</f>
        <v>14</v>
      </c>
      <c r="G35" s="38">
        <f>'[2]1 RawCompil CB September 2024'!F62</f>
        <v>1</v>
      </c>
      <c r="H35" s="38">
        <f>'[2]1 RawCompil CB September 2024'!F120</f>
        <v>0</v>
      </c>
      <c r="I35" s="38">
        <f>'[2]1 RawCompil CB September 2024'!F149</f>
        <v>0</v>
      </c>
      <c r="J35" s="38">
        <f>'[2]1 RawCompil CB September 2024'!F294</f>
        <v>100</v>
      </c>
      <c r="K35" s="38">
        <f>'[2]1 RawCompil CB September 2024'!F178</f>
        <v>41</v>
      </c>
      <c r="L35" s="38">
        <f>'[2]1 RawCompil CB September 2024'!F207</f>
        <v>151</v>
      </c>
      <c r="M35" s="38">
        <f>'[2]1 RawCompil CB September 2024'!F323</f>
        <v>0</v>
      </c>
      <c r="N35" s="38">
        <f>'[2]1 RawCompil CB September 2024'!F788</f>
        <v>157</v>
      </c>
      <c r="O35" s="38">
        <f>'[2]1 RawCompil CB September 2024'!F236</f>
        <v>0</v>
      </c>
      <c r="P35" s="38">
        <f>'[2]1 RawCompil CB September 2024'!F265</f>
        <v>87</v>
      </c>
      <c r="Q35" s="38">
        <f>'[2]1 RawCompil CB September 2024'!F91</f>
        <v>2</v>
      </c>
      <c r="R35" s="38">
        <f>'[2]1 RawCompil CB September 2024'!F352</f>
        <v>0</v>
      </c>
      <c r="S35" s="38">
        <f>'[2]1 RawCompil CB September 2024'!F410</f>
        <v>34</v>
      </c>
      <c r="T35" s="38">
        <f>'[2]1 RawCompil CB September 2024'!F381</f>
        <v>0</v>
      </c>
      <c r="U35" s="38">
        <f>'[2]1 RawCompil CB September 2024'!F439</f>
        <v>393</v>
      </c>
      <c r="V35" s="38">
        <f>'[2]1 RawCompil CB September 2024'!F498</f>
        <v>0</v>
      </c>
      <c r="W35" s="38">
        <f>'[2]1 RawCompil CB September 2024'!F527</f>
        <v>0</v>
      </c>
      <c r="X35" s="38">
        <f>'[2]1 RawCompil CB September 2024'!F469</f>
        <v>0</v>
      </c>
      <c r="Y35" s="38">
        <f>'[2]1 RawCompil CB September 2024'!F556</f>
        <v>0</v>
      </c>
      <c r="Z35" s="38">
        <f>'[2]1 RawCompil CB September 2024'!F585</f>
        <v>98</v>
      </c>
      <c r="AA35" s="38">
        <f>'[2]1 RawCompil CB September 2024'!F614</f>
        <v>0</v>
      </c>
      <c r="AB35" s="38">
        <f>'[2]1 RawCompil CB September 2024'!F643</f>
        <v>12</v>
      </c>
      <c r="AC35" s="38">
        <f>'[2]1 RawCompil CB September 2024'!F672</f>
        <v>80</v>
      </c>
      <c r="AD35" s="38">
        <f>'[2]1 RawCompil CB September 2024'!F701</f>
        <v>5</v>
      </c>
      <c r="AE35" s="38">
        <f>'[2]1 RawCompil CB September 2024'!F817</f>
        <v>67</v>
      </c>
      <c r="AF35" s="38">
        <f>'[2]1 RawCompil CB September 2024'!F759</f>
        <v>4</v>
      </c>
      <c r="AG35" s="38">
        <f>'[2]1 RawCompil CB September 2024'!F730</f>
        <v>0</v>
      </c>
      <c r="AH35" s="38">
        <f>'[2]1 RawCompil CB September 2024'!F846</f>
        <v>0</v>
      </c>
      <c r="AI35" s="38"/>
      <c r="AJ35" s="88">
        <f t="shared" ref="AJ35:AJ60" si="1">SUM(E35:AI35)</f>
        <v>1286</v>
      </c>
      <c r="AK35" s="28"/>
    </row>
    <row r="36" spans="2:37" ht="16.5" thickTop="1" thickBot="1">
      <c r="B36" s="21" t="s">
        <v>1</v>
      </c>
      <c r="C36" s="2" t="s">
        <v>228</v>
      </c>
      <c r="D36" s="23" t="s">
        <v>93</v>
      </c>
      <c r="E36" s="38">
        <f>'[2]1 RawCompil CB September 2024'!F5</f>
        <v>0</v>
      </c>
      <c r="F36" s="38">
        <f>'[2]1 RawCompil CB September 2024'!F34</f>
        <v>0</v>
      </c>
      <c r="G36" s="38">
        <f>'[2]1 RawCompil CB September 2024'!F63</f>
        <v>0</v>
      </c>
      <c r="H36" s="38">
        <f>'[2]1 RawCompil CB September 2024'!F121</f>
        <v>0</v>
      </c>
      <c r="I36" s="38">
        <f>'[2]1 RawCompil CB September 2024'!F150</f>
        <v>197</v>
      </c>
      <c r="J36" s="38">
        <f>'[2]1 RawCompil CB September 2024'!F295</f>
        <v>16</v>
      </c>
      <c r="K36" s="38">
        <f>'[2]1 RawCompil CB September 2024'!F179</f>
        <v>147</v>
      </c>
      <c r="L36" s="38">
        <f>'[2]1 RawCompil CB September 2024'!F208</f>
        <v>0</v>
      </c>
      <c r="M36" s="38">
        <f>'[2]1 RawCompil CB September 2024'!F324</f>
        <v>0</v>
      </c>
      <c r="N36" s="38">
        <f>'[2]1 RawCompil CB September 2024'!F789</f>
        <v>34</v>
      </c>
      <c r="O36" s="38">
        <f>'[2]1 RawCompil CB September 2024'!F237</f>
        <v>10</v>
      </c>
      <c r="P36" s="38">
        <f>'[2]1 RawCompil CB September 2024'!F266</f>
        <v>0</v>
      </c>
      <c r="Q36" s="38">
        <f>'[2]1 RawCompil CB September 2024'!F92</f>
        <v>0</v>
      </c>
      <c r="R36" s="38">
        <f>'[2]1 RawCompil CB September 2024'!F353</f>
        <v>0</v>
      </c>
      <c r="S36" s="38">
        <f>'[2]1 RawCompil CB September 2024'!F411</f>
        <v>0</v>
      </c>
      <c r="T36" s="38">
        <f>'[2]1 RawCompil CB September 2024'!F382</f>
        <v>0</v>
      </c>
      <c r="U36" s="38">
        <f>'[2]1 RawCompil CB September 2024'!F440</f>
        <v>43</v>
      </c>
      <c r="V36" s="38">
        <f>'[2]1 RawCompil CB September 2024'!F499</f>
        <v>0</v>
      </c>
      <c r="W36" s="38">
        <f>'[2]1 RawCompil CB September 2024'!F528</f>
        <v>0</v>
      </c>
      <c r="X36" s="38">
        <f>'[2]1 RawCompil CB September 2024'!F470</f>
        <v>0</v>
      </c>
      <c r="Y36" s="38">
        <f>'[2]1 RawCompil CB September 2024'!F557</f>
        <v>0</v>
      </c>
      <c r="Z36" s="38">
        <f>'[2]1 RawCompil CB September 2024'!F586</f>
        <v>0</v>
      </c>
      <c r="AA36" s="38">
        <f>'[2]1 RawCompil CB September 2024'!F615</f>
        <v>0</v>
      </c>
      <c r="AB36" s="38">
        <f>'[2]1 RawCompil CB September 2024'!F644</f>
        <v>0</v>
      </c>
      <c r="AC36" s="38">
        <f>'[2]1 RawCompil CB September 2024'!F673</f>
        <v>0</v>
      </c>
      <c r="AD36" s="38">
        <f>'[2]1 RawCompil CB September 2024'!F702</f>
        <v>0</v>
      </c>
      <c r="AE36" s="38">
        <f>'[2]1 RawCompil CB September 2024'!F818</f>
        <v>193</v>
      </c>
      <c r="AF36" s="38">
        <f>'[2]1 RawCompil CB September 2024'!F760</f>
        <v>0</v>
      </c>
      <c r="AG36" s="38">
        <f>'[2]1 RawCompil CB September 2024'!F731</f>
        <v>0</v>
      </c>
      <c r="AH36" s="38">
        <f>'[2]1 RawCompil CB September 2024'!F847</f>
        <v>0</v>
      </c>
      <c r="AI36" s="38"/>
      <c r="AJ36" s="88">
        <f t="shared" si="1"/>
        <v>640</v>
      </c>
    </row>
    <row r="37" spans="2:37" ht="16.5" thickTop="1" thickBot="1">
      <c r="B37" s="21" t="s">
        <v>1</v>
      </c>
      <c r="C37" s="2" t="s">
        <v>229</v>
      </c>
      <c r="D37" s="108" t="s">
        <v>93</v>
      </c>
      <c r="E37" s="38">
        <f>'[2]1 RawCompil CB September 2024'!F6</f>
        <v>0</v>
      </c>
      <c r="F37" s="38">
        <f>'[2]1 RawCompil CB September 2024'!F35</f>
        <v>0</v>
      </c>
      <c r="G37" s="38">
        <f>'[2]1 RawCompil CB September 2024'!F64</f>
        <v>0</v>
      </c>
      <c r="H37" s="38">
        <f>'[2]1 RawCompil CB September 2024'!F122</f>
        <v>0</v>
      </c>
      <c r="I37" s="38">
        <f>'[2]1 RawCompil CB September 2024'!F151</f>
        <v>0</v>
      </c>
      <c r="J37" s="38">
        <f>'[2]1 RawCompil CB September 2024'!F296</f>
        <v>0</v>
      </c>
      <c r="K37" s="38">
        <f>'[2]1 RawCompil CB September 2024'!F180</f>
        <v>0</v>
      </c>
      <c r="L37" s="38">
        <f>'[2]1 RawCompil CB September 2024'!F209</f>
        <v>0</v>
      </c>
      <c r="M37" s="38">
        <f>'[2]1 RawCompil CB September 2024'!F325</f>
        <v>0</v>
      </c>
      <c r="N37" s="38">
        <f>'[2]1 RawCompil CB September 2024'!F790</f>
        <v>0</v>
      </c>
      <c r="O37" s="38">
        <f>'[2]1 RawCompil CB September 2024'!F238</f>
        <v>0</v>
      </c>
      <c r="P37" s="38">
        <f>'[2]1 RawCompil CB September 2024'!F267</f>
        <v>36</v>
      </c>
      <c r="Q37" s="38">
        <f>'[2]1 RawCompil CB September 2024'!F93</f>
        <v>0</v>
      </c>
      <c r="R37" s="38">
        <f>'[2]1 RawCompil CB September 2024'!F354</f>
        <v>0</v>
      </c>
      <c r="S37" s="38">
        <f>'[2]1 RawCompil CB September 2024'!F412</f>
        <v>0</v>
      </c>
      <c r="T37" s="38">
        <f>'[2]1 RawCompil CB September 2024'!F383</f>
        <v>0</v>
      </c>
      <c r="U37" s="38">
        <f>'[2]1 RawCompil CB September 2024'!F441</f>
        <v>0</v>
      </c>
      <c r="V37" s="38">
        <f>'[2]1 RawCompil CB September 2024'!F500</f>
        <v>0</v>
      </c>
      <c r="W37" s="38">
        <f>'[2]1 RawCompil CB September 2024'!F529</f>
        <v>0</v>
      </c>
      <c r="X37" s="38">
        <f>'[2]1 RawCompil CB September 2024'!F471</f>
        <v>0</v>
      </c>
      <c r="Y37" s="38">
        <f>'[2]1 RawCompil CB September 2024'!F558</f>
        <v>0</v>
      </c>
      <c r="Z37" s="38">
        <f>'[2]1 RawCompil CB September 2024'!F587</f>
        <v>0</v>
      </c>
      <c r="AA37" s="38">
        <f>'[2]1 RawCompil CB September 2024'!F616</f>
        <v>0</v>
      </c>
      <c r="AB37" s="38">
        <f>'[2]1 RawCompil CB September 2024'!F645</f>
        <v>0</v>
      </c>
      <c r="AC37" s="38">
        <f>'[2]1 RawCompil CB September 2024'!F674</f>
        <v>0</v>
      </c>
      <c r="AD37" s="38">
        <f>'[2]1 RawCompil CB September 2024'!F703</f>
        <v>0</v>
      </c>
      <c r="AE37" s="38">
        <f>'[2]1 RawCompil CB September 2024'!F819</f>
        <v>0</v>
      </c>
      <c r="AF37" s="38">
        <f>'[2]1 RawCompil CB September 2024'!F761</f>
        <v>0</v>
      </c>
      <c r="AG37" s="38">
        <f>'[2]1 RawCompil CB September 2024'!F732</f>
        <v>0</v>
      </c>
      <c r="AH37" s="38">
        <f>'[2]1 RawCompil CB September 2024'!F848</f>
        <v>0</v>
      </c>
      <c r="AI37" s="38"/>
      <c r="AJ37" s="88">
        <f t="shared" si="1"/>
        <v>36</v>
      </c>
    </row>
    <row r="38" spans="2:37" ht="16.5" thickTop="1" thickBot="1">
      <c r="B38" s="21" t="s">
        <v>1</v>
      </c>
      <c r="C38" s="107" t="s">
        <v>226</v>
      </c>
      <c r="D38" s="108" t="s">
        <v>227</v>
      </c>
      <c r="E38" s="38">
        <f>'[2]1 RawCompil CB September 2024'!F7</f>
        <v>0</v>
      </c>
      <c r="F38" s="38">
        <f>'[2]1 RawCompil CB September 2024'!F36</f>
        <v>0</v>
      </c>
      <c r="G38" s="38">
        <f>'[2]1 RawCompil CB September 2024'!F65</f>
        <v>0</v>
      </c>
      <c r="H38" s="38">
        <f>'[2]1 RawCompil CB September 2024'!F123</f>
        <v>0</v>
      </c>
      <c r="I38" s="38">
        <f>'[2]1 RawCompil CB September 2024'!F152</f>
        <v>0</v>
      </c>
      <c r="J38" s="38">
        <f>'[2]1 RawCompil CB September 2024'!F297</f>
        <v>0</v>
      </c>
      <c r="K38" s="38">
        <f>'[2]1 RawCompil CB September 2024'!F181</f>
        <v>0</v>
      </c>
      <c r="L38" s="38">
        <f>'[2]1 RawCompil CB September 2024'!F210</f>
        <v>0</v>
      </c>
      <c r="M38" s="38">
        <f>'[2]1 RawCompil CB September 2024'!F326</f>
        <v>0</v>
      </c>
      <c r="N38" s="38">
        <f>'[2]1 RawCompil CB September 2024'!F791</f>
        <v>0</v>
      </c>
      <c r="O38" s="38">
        <f>'[2]1 RawCompil CB September 2024'!F239</f>
        <v>0</v>
      </c>
      <c r="P38" s="38">
        <f>'[2]1 RawCompil CB September 2024'!F268</f>
        <v>0</v>
      </c>
      <c r="Q38" s="38">
        <f>'[2]1 RawCompil CB September 2024'!F94</f>
        <v>0</v>
      </c>
      <c r="R38" s="38">
        <f>'[2]1 RawCompil CB September 2024'!F355</f>
        <v>0</v>
      </c>
      <c r="S38" s="38">
        <f>'[2]1 RawCompil CB September 2024'!F413</f>
        <v>0</v>
      </c>
      <c r="T38" s="38">
        <f>'[2]1 RawCompil CB September 2024'!F384</f>
        <v>0</v>
      </c>
      <c r="U38" s="38">
        <f>'[2]1 RawCompil CB September 2024'!F442</f>
        <v>0</v>
      </c>
      <c r="V38" s="38">
        <f>'[2]1 RawCompil CB September 2024'!F501</f>
        <v>0</v>
      </c>
      <c r="W38" s="38">
        <f>'[2]1 RawCompil CB September 2024'!F530</f>
        <v>0</v>
      </c>
      <c r="X38" s="38">
        <f>'[2]1 RawCompil CB September 2024'!F472</f>
        <v>0</v>
      </c>
      <c r="Y38" s="38">
        <f>'[2]1 RawCompil CB September 2024'!F559</f>
        <v>0</v>
      </c>
      <c r="Z38" s="38">
        <f>'[2]1 RawCompil CB September 2024'!F588</f>
        <v>0</v>
      </c>
      <c r="AA38" s="38">
        <f>'[2]1 RawCompil CB September 2024'!F617</f>
        <v>0</v>
      </c>
      <c r="AB38" s="38">
        <f>'[2]1 RawCompil CB September 2024'!F646</f>
        <v>0</v>
      </c>
      <c r="AC38" s="38">
        <f>'[2]1 RawCompil CB September 2024'!F675</f>
        <v>0</v>
      </c>
      <c r="AD38" s="38">
        <f>'[2]1 RawCompil CB September 2024'!F704</f>
        <v>0</v>
      </c>
      <c r="AE38" s="38">
        <f>'[2]1 RawCompil CB September 2024'!F820</f>
        <v>0</v>
      </c>
      <c r="AF38" s="38">
        <f>'[2]1 RawCompil CB September 2024'!F762</f>
        <v>0</v>
      </c>
      <c r="AG38" s="38">
        <f>'[2]1 RawCompil CB September 2024'!F733</f>
        <v>0</v>
      </c>
      <c r="AH38" s="38">
        <f>'[2]1 RawCompil CB September 2024'!F849</f>
        <v>0</v>
      </c>
      <c r="AI38" s="38"/>
      <c r="AJ38" s="88">
        <f t="shared" si="1"/>
        <v>0</v>
      </c>
    </row>
    <row r="39" spans="2:37" ht="16.5" thickTop="1" thickBot="1">
      <c r="B39" s="21" t="s">
        <v>1</v>
      </c>
      <c r="C39" s="2" t="s">
        <v>171</v>
      </c>
      <c r="D39" s="23" t="s">
        <v>170</v>
      </c>
      <c r="E39" s="38">
        <f>'[2]1 RawCompil CB September 2024'!F8</f>
        <v>0</v>
      </c>
      <c r="F39" s="38">
        <f>'[2]1 RawCompil CB September 2024'!F37</f>
        <v>0</v>
      </c>
      <c r="G39" s="38">
        <f>'[2]1 RawCompil CB September 2024'!F66</f>
        <v>0</v>
      </c>
      <c r="H39" s="38">
        <f>'[2]1 RawCompil CB September 2024'!F124</f>
        <v>0</v>
      </c>
      <c r="I39" s="38">
        <f>'[2]1 RawCompil CB September 2024'!F153</f>
        <v>0</v>
      </c>
      <c r="J39" s="38">
        <f>'[2]1 RawCompil CB September 2024'!F298</f>
        <v>0</v>
      </c>
      <c r="K39" s="38">
        <f>'[2]1 RawCompil CB September 2024'!F182</f>
        <v>0</v>
      </c>
      <c r="L39" s="38">
        <f>'[2]1 RawCompil CB September 2024'!F211</f>
        <v>0</v>
      </c>
      <c r="M39" s="38">
        <f>'[2]1 RawCompil CB September 2024'!F327</f>
        <v>0</v>
      </c>
      <c r="N39" s="38">
        <f>'[2]1 RawCompil CB September 2024'!F792</f>
        <v>0</v>
      </c>
      <c r="O39" s="38">
        <f>'[2]1 RawCompil CB September 2024'!F240</f>
        <v>0</v>
      </c>
      <c r="P39" s="38">
        <f>'[2]1 RawCompil CB September 2024'!F269</f>
        <v>0</v>
      </c>
      <c r="Q39" s="38">
        <f>'[2]1 RawCompil CB September 2024'!F95</f>
        <v>0</v>
      </c>
      <c r="R39" s="38">
        <f>'[2]1 RawCompil CB September 2024'!F356</f>
        <v>0</v>
      </c>
      <c r="S39" s="38">
        <f>'[2]1 RawCompil CB September 2024'!F414</f>
        <v>0</v>
      </c>
      <c r="T39" s="38">
        <f>'[2]1 RawCompil CB September 2024'!F385</f>
        <v>0</v>
      </c>
      <c r="U39" s="38">
        <f>'[2]1 RawCompil CB September 2024'!F443</f>
        <v>0</v>
      </c>
      <c r="V39" s="38">
        <f>'[2]1 RawCompil CB September 2024'!F502</f>
        <v>0</v>
      </c>
      <c r="W39" s="38">
        <f>'[2]1 RawCompil CB September 2024'!F531</f>
        <v>0</v>
      </c>
      <c r="X39" s="38">
        <f>'[2]1 RawCompil CB September 2024'!F473</f>
        <v>0</v>
      </c>
      <c r="Y39" s="38">
        <f>'[2]1 RawCompil CB September 2024'!F560</f>
        <v>0</v>
      </c>
      <c r="Z39" s="38">
        <f>'[2]1 RawCompil CB September 2024'!F589</f>
        <v>0</v>
      </c>
      <c r="AA39" s="38">
        <f>'[2]1 RawCompil CB September 2024'!F618</f>
        <v>0</v>
      </c>
      <c r="AB39" s="38">
        <f>'[2]1 RawCompil CB September 2024'!F647</f>
        <v>0</v>
      </c>
      <c r="AC39" s="38">
        <f>'[2]1 RawCompil CB September 2024'!F676</f>
        <v>0</v>
      </c>
      <c r="AD39" s="38">
        <f>'[2]1 RawCompil CB September 2024'!F705</f>
        <v>0</v>
      </c>
      <c r="AE39" s="38">
        <f>'[2]1 RawCompil CB September 2024'!F821</f>
        <v>0</v>
      </c>
      <c r="AF39" s="38">
        <f>'[2]1 RawCompil CB September 2024'!F763</f>
        <v>0</v>
      </c>
      <c r="AG39" s="38">
        <f>'[2]1 RawCompil CB September 2024'!F734</f>
        <v>0</v>
      </c>
      <c r="AH39" s="38">
        <f>'[2]1 RawCompil CB September 2024'!F850</f>
        <v>0</v>
      </c>
      <c r="AI39" s="38"/>
      <c r="AJ39" s="88">
        <f t="shared" si="1"/>
        <v>0</v>
      </c>
    </row>
    <row r="40" spans="2:37" ht="16.5" thickTop="1" thickBot="1">
      <c r="B40" s="21" t="s">
        <v>3</v>
      </c>
      <c r="C40" s="2" t="s">
        <v>4</v>
      </c>
      <c r="D40" s="23" t="s">
        <v>94</v>
      </c>
      <c r="E40" s="38">
        <f>'[2]1 RawCompil CB September 2024'!F9</f>
        <v>184</v>
      </c>
      <c r="F40" s="38">
        <f>'[2]1 RawCompil CB September 2024'!F38</f>
        <v>855</v>
      </c>
      <c r="G40" s="38">
        <f>'[2]1 RawCompil CB September 2024'!F67</f>
        <v>9</v>
      </c>
      <c r="H40" s="38">
        <f>'[2]1 RawCompil CB September 2024'!F125</f>
        <v>0</v>
      </c>
      <c r="I40" s="38">
        <f>'[2]1 RawCompil CB September 2024'!F154</f>
        <v>21</v>
      </c>
      <c r="J40" s="38">
        <f>'[2]1 RawCompil CB September 2024'!F299</f>
        <v>1030</v>
      </c>
      <c r="K40" s="38">
        <f>'[2]1 RawCompil CB September 2024'!F183</f>
        <v>239</v>
      </c>
      <c r="L40" s="38">
        <f>'[2]1 RawCompil CB September 2024'!F212</f>
        <v>171</v>
      </c>
      <c r="M40" s="38">
        <f>'[2]1 RawCompil CB September 2024'!F328</f>
        <v>6</v>
      </c>
      <c r="N40" s="38">
        <f>'[2]1 RawCompil CB September 2024'!F793</f>
        <v>1150</v>
      </c>
      <c r="O40" s="38">
        <f>'[2]1 RawCompil CB September 2024'!F241</f>
        <v>123</v>
      </c>
      <c r="P40" s="38">
        <f>'[2]1 RawCompil CB September 2024'!F270</f>
        <v>683</v>
      </c>
      <c r="Q40" s="38">
        <f>'[2]1 RawCompil CB September 2024'!F96</f>
        <v>15</v>
      </c>
      <c r="R40" s="38">
        <f>'[2]1 RawCompil CB September 2024'!F357</f>
        <v>44</v>
      </c>
      <c r="S40" s="38">
        <f>'[2]1 RawCompil CB September 2024'!F415</f>
        <v>42</v>
      </c>
      <c r="T40" s="38">
        <f>'[2]1 RawCompil CB September 2024'!F386</f>
        <v>0</v>
      </c>
      <c r="U40" s="38">
        <f>'[2]1 RawCompil CB September 2024'!F444</f>
        <v>2298</v>
      </c>
      <c r="V40" s="38">
        <f>'[2]1 RawCompil CB September 2024'!F503</f>
        <v>3</v>
      </c>
      <c r="W40" s="38">
        <f>'[2]1 RawCompil CB September 2024'!F532</f>
        <v>6</v>
      </c>
      <c r="X40" s="38">
        <f>'[2]1 RawCompil CB September 2024'!F474</f>
        <v>44</v>
      </c>
      <c r="Y40" s="38">
        <f>'[2]1 RawCompil CB September 2024'!F561</f>
        <v>13</v>
      </c>
      <c r="Z40" s="38">
        <f>'[2]1 RawCompil CB September 2024'!F590</f>
        <v>458</v>
      </c>
      <c r="AA40" s="38">
        <f>'[2]1 RawCompil CB September 2024'!F619</f>
        <v>0</v>
      </c>
      <c r="AB40" s="38">
        <f>'[2]1 RawCompil CB September 2024'!F648</f>
        <v>220</v>
      </c>
      <c r="AC40" s="38">
        <f>'[2]1 RawCompil CB September 2024'!F677</f>
        <v>72</v>
      </c>
      <c r="AD40" s="38">
        <f>'[2]1 RawCompil CB September 2024'!F706</f>
        <v>18</v>
      </c>
      <c r="AE40" s="38">
        <f>'[2]1 RawCompil CB September 2024'!F822</f>
        <v>138</v>
      </c>
      <c r="AF40" s="38">
        <f>'[2]1 RawCompil CB September 2024'!F764</f>
        <v>42</v>
      </c>
      <c r="AG40" s="38">
        <f>'[2]1 RawCompil CB September 2024'!F735</f>
        <v>8</v>
      </c>
      <c r="AH40" s="38">
        <f>'[2]1 RawCompil CB September 2024'!F851</f>
        <v>0</v>
      </c>
      <c r="AI40" s="38"/>
      <c r="AJ40" s="88">
        <f t="shared" si="1"/>
        <v>7892</v>
      </c>
      <c r="AK40" s="28"/>
    </row>
    <row r="41" spans="2:37" ht="16.5" thickTop="1" thickBot="1">
      <c r="B41" s="21" t="s">
        <v>3</v>
      </c>
      <c r="C41" s="2" t="s">
        <v>125</v>
      </c>
      <c r="D41" s="23" t="s">
        <v>95</v>
      </c>
      <c r="E41" s="38">
        <f>'[2]1 RawCompil CB September 2024'!F10</f>
        <v>23</v>
      </c>
      <c r="F41" s="38">
        <f>'[2]1 RawCompil CB September 2024'!F39</f>
        <v>28</v>
      </c>
      <c r="G41" s="38">
        <f>'[2]1 RawCompil CB September 2024'!F68</f>
        <v>0</v>
      </c>
      <c r="H41" s="38">
        <f>'[2]1 RawCompil CB September 2024'!F126</f>
        <v>0</v>
      </c>
      <c r="I41" s="38">
        <f>'[2]1 RawCompil CB September 2024'!F155</f>
        <v>2</v>
      </c>
      <c r="J41" s="38">
        <f>'[2]1 RawCompil CB September 2024'!F300</f>
        <v>22</v>
      </c>
      <c r="K41" s="38">
        <f>'[2]1 RawCompil CB September 2024'!F184</f>
        <v>158</v>
      </c>
      <c r="L41" s="38">
        <f>'[2]1 RawCompil CB September 2024'!F213</f>
        <v>28</v>
      </c>
      <c r="M41" s="38">
        <f>'[2]1 RawCompil CB September 2024'!F329</f>
        <v>0</v>
      </c>
      <c r="N41" s="38">
        <f>'[2]1 RawCompil CB September 2024'!F794</f>
        <v>53</v>
      </c>
      <c r="O41" s="38">
        <f>'[2]1 RawCompil CB September 2024'!F242</f>
        <v>0</v>
      </c>
      <c r="P41" s="38">
        <f>'[2]1 RawCompil CB September 2024'!F271</f>
        <v>55</v>
      </c>
      <c r="Q41" s="38">
        <f>'[2]1 RawCompil CB September 2024'!F97</f>
        <v>0</v>
      </c>
      <c r="R41" s="38">
        <f>'[2]1 RawCompil CB September 2024'!F358</f>
        <v>0</v>
      </c>
      <c r="S41" s="38">
        <f>'[2]1 RawCompil CB September 2024'!F416</f>
        <v>0</v>
      </c>
      <c r="T41" s="38">
        <f>'[2]1 RawCompil CB September 2024'!F387</f>
        <v>0</v>
      </c>
      <c r="U41" s="38">
        <f>'[2]1 RawCompil CB September 2024'!F445</f>
        <v>69</v>
      </c>
      <c r="V41" s="38">
        <f>'[2]1 RawCompil CB September 2024'!F504</f>
        <v>2</v>
      </c>
      <c r="W41" s="38">
        <f>'[2]1 RawCompil CB September 2024'!F533</f>
        <v>0</v>
      </c>
      <c r="X41" s="38">
        <f>'[2]1 RawCompil CB September 2024'!F475</f>
        <v>0</v>
      </c>
      <c r="Y41" s="38">
        <f>'[2]1 RawCompil CB September 2024'!F562</f>
        <v>0</v>
      </c>
      <c r="Z41" s="38">
        <f>'[2]1 RawCompil CB September 2024'!F591</f>
        <v>128</v>
      </c>
      <c r="AA41" s="38">
        <f>'[2]1 RawCompil CB September 2024'!F620</f>
        <v>0</v>
      </c>
      <c r="AB41" s="38">
        <f>'[2]1 RawCompil CB September 2024'!F649</f>
        <v>19</v>
      </c>
      <c r="AC41" s="38">
        <f>'[2]1 RawCompil CB September 2024'!F678</f>
        <v>0</v>
      </c>
      <c r="AD41" s="38">
        <f>'[2]1 RawCompil CB September 2024'!F707</f>
        <v>0</v>
      </c>
      <c r="AE41" s="38">
        <f>'[2]1 RawCompil CB September 2024'!F823</f>
        <v>3</v>
      </c>
      <c r="AF41" s="38">
        <f>'[2]1 RawCompil CB September 2024'!F765</f>
        <v>1</v>
      </c>
      <c r="AG41" s="38">
        <f>'[2]1 RawCompil CB September 2024'!F736</f>
        <v>0</v>
      </c>
      <c r="AH41" s="38">
        <f>'[2]1 RawCompil CB September 2024'!F852</f>
        <v>0</v>
      </c>
      <c r="AI41" s="38"/>
      <c r="AJ41" s="88">
        <f t="shared" si="1"/>
        <v>591</v>
      </c>
    </row>
    <row r="42" spans="2:37" ht="16.5" thickTop="1" thickBot="1">
      <c r="B42" s="21" t="s">
        <v>3</v>
      </c>
      <c r="C42" s="2" t="s">
        <v>126</v>
      </c>
      <c r="D42" s="23" t="s">
        <v>96</v>
      </c>
      <c r="E42" s="38">
        <f>'[2]1 RawCompil CB September 2024'!F11</f>
        <v>37</v>
      </c>
      <c r="F42" s="38">
        <f>'[2]1 RawCompil CB September 2024'!F40</f>
        <v>240</v>
      </c>
      <c r="G42" s="38">
        <f>'[2]1 RawCompil CB September 2024'!F69</f>
        <v>0</v>
      </c>
      <c r="H42" s="38">
        <f>'[2]1 RawCompil CB September 2024'!F127</f>
        <v>0</v>
      </c>
      <c r="I42" s="38">
        <f>'[2]1 RawCompil CB September 2024'!F156</f>
        <v>0</v>
      </c>
      <c r="J42" s="38">
        <f>'[2]1 RawCompil CB September 2024'!F301</f>
        <v>322</v>
      </c>
      <c r="K42" s="38">
        <f>'[2]1 RawCompil CB September 2024'!F185</f>
        <v>0</v>
      </c>
      <c r="L42" s="38">
        <f>'[2]1 RawCompil CB September 2024'!F214</f>
        <v>22</v>
      </c>
      <c r="M42" s="38">
        <f>'[2]1 RawCompil CB September 2024'!F330</f>
        <v>0</v>
      </c>
      <c r="N42" s="38">
        <f>'[2]1 RawCompil CB September 2024'!F795</f>
        <v>322</v>
      </c>
      <c r="O42" s="38">
        <f>'[2]1 RawCompil CB September 2024'!F243</f>
        <v>0</v>
      </c>
      <c r="P42" s="38">
        <f>'[2]1 RawCompil CB September 2024'!F272</f>
        <v>248</v>
      </c>
      <c r="Q42" s="38">
        <f>'[2]1 RawCompil CB September 2024'!F98</f>
        <v>2</v>
      </c>
      <c r="R42" s="38">
        <f>'[2]1 RawCompil CB September 2024'!F359</f>
        <v>0</v>
      </c>
      <c r="S42" s="38">
        <f>'[2]1 RawCompil CB September 2024'!F417</f>
        <v>0</v>
      </c>
      <c r="T42" s="38">
        <f>'[2]1 RawCompil CB September 2024'!F388</f>
        <v>0</v>
      </c>
      <c r="U42" s="38">
        <f>'[2]1 RawCompil CB September 2024'!F446</f>
        <v>451</v>
      </c>
      <c r="V42" s="38">
        <f>'[2]1 RawCompil CB September 2024'!F505</f>
        <v>0</v>
      </c>
      <c r="W42" s="38">
        <f>'[2]1 RawCompil CB September 2024'!F534</f>
        <v>0</v>
      </c>
      <c r="X42" s="38">
        <f>'[2]1 RawCompil CB September 2024'!F476</f>
        <v>0</v>
      </c>
      <c r="Y42" s="38">
        <f>'[2]1 RawCompil CB September 2024'!F563</f>
        <v>0</v>
      </c>
      <c r="Z42" s="38">
        <f>'[2]1 RawCompil CB September 2024'!F592</f>
        <v>23</v>
      </c>
      <c r="AA42" s="38">
        <f>'[2]1 RawCompil CB September 2024'!F621</f>
        <v>0</v>
      </c>
      <c r="AB42" s="38">
        <f>'[2]1 RawCompil CB September 2024'!F650</f>
        <v>14</v>
      </c>
      <c r="AC42" s="38">
        <f>'[2]1 RawCompil CB September 2024'!F679</f>
        <v>0</v>
      </c>
      <c r="AD42" s="38">
        <f>'[2]1 RawCompil CB September 2024'!F708</f>
        <v>0</v>
      </c>
      <c r="AE42" s="38">
        <f>'[2]1 RawCompil CB September 2024'!F824</f>
        <v>59</v>
      </c>
      <c r="AF42" s="38">
        <f>'[2]1 RawCompil CB September 2024'!F766</f>
        <v>29</v>
      </c>
      <c r="AG42" s="38">
        <f>'[2]1 RawCompil CB September 2024'!F737</f>
        <v>0</v>
      </c>
      <c r="AH42" s="38">
        <f>'[2]1 RawCompil CB September 2024'!F853</f>
        <v>0</v>
      </c>
      <c r="AI42" s="38"/>
      <c r="AJ42" s="88">
        <f t="shared" si="1"/>
        <v>1769</v>
      </c>
    </row>
    <row r="43" spans="2:37" ht="16.5" thickTop="1" thickBot="1">
      <c r="B43" s="21" t="s">
        <v>3</v>
      </c>
      <c r="C43" s="2" t="s">
        <v>6</v>
      </c>
      <c r="D43" s="23" t="s">
        <v>97</v>
      </c>
      <c r="E43" s="38">
        <f>'[2]1 RawCompil CB September 2024'!F12</f>
        <v>31</v>
      </c>
      <c r="F43" s="38">
        <f>'[2]1 RawCompil CB September 2024'!F41</f>
        <v>173</v>
      </c>
      <c r="G43" s="38">
        <f>'[2]1 RawCompil CB September 2024'!F70</f>
        <v>3</v>
      </c>
      <c r="H43" s="38">
        <f>'[2]1 RawCompil CB September 2024'!F128</f>
        <v>0</v>
      </c>
      <c r="I43" s="38">
        <f>'[2]1 RawCompil CB September 2024'!F157</f>
        <v>10</v>
      </c>
      <c r="J43" s="38">
        <f>'[2]1 RawCompil CB September 2024'!F302</f>
        <v>207</v>
      </c>
      <c r="K43" s="38">
        <f>'[2]1 RawCompil CB September 2024'!F186</f>
        <v>42</v>
      </c>
      <c r="L43" s="38">
        <f>'[2]1 RawCompil CB September 2024'!F215</f>
        <v>65</v>
      </c>
      <c r="M43" s="38">
        <f>'[2]1 RawCompil CB September 2024'!F331</f>
        <v>2</v>
      </c>
      <c r="N43" s="38">
        <f>'[2]1 RawCompil CB September 2024'!F796</f>
        <v>241</v>
      </c>
      <c r="O43" s="38">
        <f>'[2]1 RawCompil CB September 2024'!F244</f>
        <v>0</v>
      </c>
      <c r="P43" s="38">
        <f>'[2]1 RawCompil CB September 2024'!F273</f>
        <v>137</v>
      </c>
      <c r="Q43" s="38">
        <f>'[2]1 RawCompil CB September 2024'!F99</f>
        <v>3</v>
      </c>
      <c r="R43" s="38">
        <f>'[2]1 RawCompil CB September 2024'!F360</f>
        <v>4</v>
      </c>
      <c r="S43" s="38">
        <f>'[2]1 RawCompil CB September 2024'!F418</f>
        <v>17</v>
      </c>
      <c r="T43" s="38">
        <f>'[2]1 RawCompil CB September 2024'!F389</f>
        <v>0</v>
      </c>
      <c r="U43" s="38">
        <f>'[2]1 RawCompil CB September 2024'!F447</f>
        <v>323</v>
      </c>
      <c r="V43" s="38">
        <f>'[2]1 RawCompil CB September 2024'!F506</f>
        <v>10</v>
      </c>
      <c r="W43" s="38">
        <f>'[2]1 RawCompil CB September 2024'!F535</f>
        <v>0</v>
      </c>
      <c r="X43" s="38">
        <f>'[2]1 RawCompil CB September 2024'!F477</f>
        <v>28</v>
      </c>
      <c r="Y43" s="38">
        <f>'[2]1 RawCompil CB September 2024'!F564</f>
        <v>0</v>
      </c>
      <c r="Z43" s="38">
        <f>'[2]1 RawCompil CB September 2024'!F593</f>
        <v>46</v>
      </c>
      <c r="AA43" s="38">
        <f>'[2]1 RawCompil CB September 2024'!F622</f>
        <v>0</v>
      </c>
      <c r="AB43" s="38">
        <f>'[2]1 RawCompil CB September 2024'!F651</f>
        <v>78</v>
      </c>
      <c r="AC43" s="38">
        <f>'[2]1 RawCompil CB September 2024'!F680</f>
        <v>6</v>
      </c>
      <c r="AD43" s="38">
        <f>'[2]1 RawCompil CB September 2024'!F709</f>
        <v>3</v>
      </c>
      <c r="AE43" s="38">
        <f>'[2]1 RawCompil CB September 2024'!F825</f>
        <v>0</v>
      </c>
      <c r="AF43" s="38">
        <f>'[2]1 RawCompil CB September 2024'!F767</f>
        <v>9</v>
      </c>
      <c r="AG43" s="38">
        <f>'[2]1 RawCompil CB September 2024'!F738</f>
        <v>2</v>
      </c>
      <c r="AH43" s="38">
        <f>'[2]1 RawCompil CB September 2024'!F854</f>
        <v>0</v>
      </c>
      <c r="AI43" s="38"/>
      <c r="AJ43" s="88">
        <f t="shared" si="1"/>
        <v>1440</v>
      </c>
    </row>
    <row r="44" spans="2:37" ht="16.5" thickTop="1" thickBot="1">
      <c r="B44" s="21" t="s">
        <v>3</v>
      </c>
      <c r="C44" s="2" t="s">
        <v>7</v>
      </c>
      <c r="D44" s="23" t="s">
        <v>98</v>
      </c>
      <c r="E44" s="38">
        <f>'[2]1 RawCompil CB September 2024'!F13</f>
        <v>13</v>
      </c>
      <c r="F44" s="38">
        <f>'[2]1 RawCompil CB September 2024'!F42</f>
        <v>184</v>
      </c>
      <c r="G44" s="38">
        <f>'[2]1 RawCompil CB September 2024'!F71</f>
        <v>7</v>
      </c>
      <c r="H44" s="38">
        <f>'[2]1 RawCompil CB September 2024'!F129</f>
        <v>0</v>
      </c>
      <c r="I44" s="38">
        <f>'[2]1 RawCompil CB September 2024'!F158</f>
        <v>6</v>
      </c>
      <c r="J44" s="38">
        <f>'[2]1 RawCompil CB September 2024'!F303</f>
        <v>115</v>
      </c>
      <c r="K44" s="38">
        <f>'[2]1 RawCompil CB September 2024'!F187</f>
        <v>110</v>
      </c>
      <c r="L44" s="38">
        <f>'[2]1 RawCompil CB September 2024'!F216</f>
        <v>347</v>
      </c>
      <c r="M44" s="38">
        <f>'[2]1 RawCompil CB September 2024'!F332</f>
        <v>0</v>
      </c>
      <c r="N44" s="38">
        <f>'[2]1 RawCompil CB September 2024'!F797</f>
        <v>217</v>
      </c>
      <c r="O44" s="38">
        <f>'[2]1 RawCompil CB September 2024'!F245</f>
        <v>0</v>
      </c>
      <c r="P44" s="38">
        <f>'[2]1 RawCompil CB September 2024'!F274</f>
        <v>76</v>
      </c>
      <c r="Q44" s="38">
        <f>'[2]1 RawCompil CB September 2024'!F100</f>
        <v>1</v>
      </c>
      <c r="R44" s="38">
        <f>'[2]1 RawCompil CB September 2024'!F361</f>
        <v>8</v>
      </c>
      <c r="S44" s="38">
        <f>'[2]1 RawCompil CB September 2024'!F419</f>
        <v>11</v>
      </c>
      <c r="T44" s="38">
        <f>'[2]1 RawCompil CB September 2024'!F390</f>
        <v>0</v>
      </c>
      <c r="U44" s="38">
        <f>'[2]1 RawCompil CB September 2024'!F448</f>
        <v>111</v>
      </c>
      <c r="V44" s="38">
        <f>'[2]1 RawCompil CB September 2024'!F507</f>
        <v>7</v>
      </c>
      <c r="W44" s="38">
        <f>'[2]1 RawCompil CB September 2024'!F536</f>
        <v>0</v>
      </c>
      <c r="X44" s="38">
        <f>'[2]1 RawCompil CB September 2024'!F478</f>
        <v>20</v>
      </c>
      <c r="Y44" s="38">
        <f>'[2]1 RawCompil CB September 2024'!F565</f>
        <v>0</v>
      </c>
      <c r="Z44" s="38">
        <f>'[2]1 RawCompil CB September 2024'!F594</f>
        <v>54</v>
      </c>
      <c r="AA44" s="38">
        <f>'[2]1 RawCompil CB September 2024'!F623</f>
        <v>0</v>
      </c>
      <c r="AB44" s="38">
        <f>'[2]1 RawCompil CB September 2024'!F652</f>
        <v>77</v>
      </c>
      <c r="AC44" s="38">
        <f>'[2]1 RawCompil CB September 2024'!F681</f>
        <v>4</v>
      </c>
      <c r="AD44" s="38">
        <f>'[2]1 RawCompil CB September 2024'!F710</f>
        <v>1</v>
      </c>
      <c r="AE44" s="38">
        <f>'[2]1 RawCompil CB September 2024'!F826</f>
        <v>0</v>
      </c>
      <c r="AF44" s="38">
        <f>'[2]1 RawCompil CB September 2024'!F768</f>
        <v>8</v>
      </c>
      <c r="AG44" s="38">
        <f>'[2]1 RawCompil CB September 2024'!F739</f>
        <v>0</v>
      </c>
      <c r="AH44" s="38">
        <f>'[2]1 RawCompil CB September 2024'!F855</f>
        <v>0</v>
      </c>
      <c r="AI44" s="38"/>
      <c r="AJ44" s="88">
        <f t="shared" si="1"/>
        <v>1377</v>
      </c>
    </row>
    <row r="45" spans="2:37" ht="16.5" thickTop="1" thickBot="1">
      <c r="B45" s="21" t="s">
        <v>3</v>
      </c>
      <c r="C45" s="2" t="s">
        <v>8</v>
      </c>
      <c r="D45" s="23" t="s">
        <v>99</v>
      </c>
      <c r="E45" s="38">
        <f>'[2]1 RawCompil CB September 2024'!F14</f>
        <v>11</v>
      </c>
      <c r="F45" s="38">
        <f>'[2]1 RawCompil CB September 2024'!F43</f>
        <v>196</v>
      </c>
      <c r="G45" s="38">
        <f>'[2]1 RawCompil CB September 2024'!F72</f>
        <v>0</v>
      </c>
      <c r="H45" s="38">
        <f>'[2]1 RawCompil CB September 2024'!F130</f>
        <v>0</v>
      </c>
      <c r="I45" s="38">
        <f>'[2]1 RawCompil CB September 2024'!F159</f>
        <v>0</v>
      </c>
      <c r="J45" s="38">
        <f>'[2]1 RawCompil CB September 2024'!F304</f>
        <v>225</v>
      </c>
      <c r="K45" s="38">
        <f>'[2]1 RawCompil CB September 2024'!F188</f>
        <v>0</v>
      </c>
      <c r="L45" s="38">
        <f>'[2]1 RawCompil CB September 2024'!F217</f>
        <v>0</v>
      </c>
      <c r="M45" s="38">
        <f>'[2]1 RawCompil CB September 2024'!F333</f>
        <v>0</v>
      </c>
      <c r="N45" s="38">
        <f>'[2]1 RawCompil CB September 2024'!F798</f>
        <v>168</v>
      </c>
      <c r="O45" s="38">
        <f>'[2]1 RawCompil CB September 2024'!F246</f>
        <v>0</v>
      </c>
      <c r="P45" s="38">
        <f>'[2]1 RawCompil CB September 2024'!F275</f>
        <v>72</v>
      </c>
      <c r="Q45" s="38">
        <f>'[2]1 RawCompil CB September 2024'!F101</f>
        <v>0</v>
      </c>
      <c r="R45" s="38">
        <f>'[2]1 RawCompil CB September 2024'!F362</f>
        <v>0</v>
      </c>
      <c r="S45" s="38">
        <f>'[2]1 RawCompil CB September 2024'!F420</f>
        <v>0</v>
      </c>
      <c r="T45" s="38">
        <f>'[2]1 RawCompil CB September 2024'!F391</f>
        <v>0</v>
      </c>
      <c r="U45" s="38">
        <f>'[2]1 RawCompil CB September 2024'!F449</f>
        <v>174</v>
      </c>
      <c r="V45" s="38">
        <f>'[2]1 RawCompil CB September 2024'!F508</f>
        <v>0</v>
      </c>
      <c r="W45" s="38">
        <f>'[2]1 RawCompil CB September 2024'!F537</f>
        <v>0</v>
      </c>
      <c r="X45" s="38">
        <f>'[2]1 RawCompil CB September 2024'!F479</f>
        <v>0</v>
      </c>
      <c r="Y45" s="38">
        <f>'[2]1 RawCompil CB September 2024'!F566</f>
        <v>0</v>
      </c>
      <c r="Z45" s="38">
        <f>'[2]1 RawCompil CB September 2024'!F595</f>
        <v>58</v>
      </c>
      <c r="AA45" s="38">
        <f>'[2]1 RawCompil CB September 2024'!F624</f>
        <v>0</v>
      </c>
      <c r="AB45" s="38">
        <f>'[2]1 RawCompil CB September 2024'!F653</f>
        <v>0</v>
      </c>
      <c r="AC45" s="38">
        <f>'[2]1 RawCompil CB September 2024'!F682</f>
        <v>0</v>
      </c>
      <c r="AD45" s="38">
        <f>'[2]1 RawCompil CB September 2024'!F711</f>
        <v>0</v>
      </c>
      <c r="AE45" s="38">
        <f>'[2]1 RawCompil CB September 2024'!F827</f>
        <v>0</v>
      </c>
      <c r="AF45" s="38">
        <f>'[2]1 RawCompil CB September 2024'!F769</f>
        <v>6</v>
      </c>
      <c r="AG45" s="38">
        <f>'[2]1 RawCompil CB September 2024'!F740</f>
        <v>0</v>
      </c>
      <c r="AH45" s="38">
        <f>'[2]1 RawCompil CB September 2024'!F856</f>
        <v>0</v>
      </c>
      <c r="AI45" s="38"/>
      <c r="AJ45" s="88">
        <f t="shared" si="1"/>
        <v>910</v>
      </c>
    </row>
    <row r="46" spans="2:37" ht="16.5" thickTop="1" thickBot="1">
      <c r="B46" s="21" t="s">
        <v>3</v>
      </c>
      <c r="C46" s="24" t="s">
        <v>124</v>
      </c>
      <c r="D46" s="25" t="s">
        <v>116</v>
      </c>
      <c r="E46" s="38">
        <f>'[2]1 RawCompil CB September 2024'!F15</f>
        <v>2</v>
      </c>
      <c r="F46" s="38">
        <f>'[2]1 RawCompil CB September 2024'!F44</f>
        <v>0</v>
      </c>
      <c r="G46" s="38">
        <f>'[2]1 RawCompil CB September 2024'!F73</f>
        <v>0</v>
      </c>
      <c r="H46" s="38">
        <f>'[2]1 RawCompil CB September 2024'!F131</f>
        <v>0</v>
      </c>
      <c r="I46" s="38">
        <f>'[2]1 RawCompil CB September 2024'!F160</f>
        <v>0</v>
      </c>
      <c r="J46" s="38">
        <f>'[2]1 RawCompil CB September 2024'!F305</f>
        <v>0</v>
      </c>
      <c r="K46" s="38">
        <f>'[2]1 RawCompil CB September 2024'!F189</f>
        <v>0</v>
      </c>
      <c r="L46" s="38">
        <f>'[2]1 RawCompil CB September 2024'!F218</f>
        <v>0</v>
      </c>
      <c r="M46" s="38">
        <f>'[2]1 RawCompil CB September 2024'!F334</f>
        <v>0</v>
      </c>
      <c r="N46" s="38">
        <f>'[2]1 RawCompil CB September 2024'!F799</f>
        <v>19</v>
      </c>
      <c r="O46" s="38">
        <f>'[2]1 RawCompil CB September 2024'!F247</f>
        <v>0</v>
      </c>
      <c r="P46" s="38">
        <f>'[2]1 RawCompil CB September 2024'!F276</f>
        <v>9</v>
      </c>
      <c r="Q46" s="38">
        <f>'[2]1 RawCompil CB September 2024'!F102</f>
        <v>1</v>
      </c>
      <c r="R46" s="38">
        <f>'[2]1 RawCompil CB September 2024'!F363</f>
        <v>0</v>
      </c>
      <c r="S46" s="38">
        <f>'[2]1 RawCompil CB September 2024'!F421</f>
        <v>1</v>
      </c>
      <c r="T46" s="38">
        <f>'[2]1 RawCompil CB September 2024'!F392</f>
        <v>0</v>
      </c>
      <c r="U46" s="38">
        <f>'[2]1 RawCompil CB September 2024'!F450</f>
        <v>191</v>
      </c>
      <c r="V46" s="38">
        <f>'[2]1 RawCompil CB September 2024'!F509</f>
        <v>0</v>
      </c>
      <c r="W46" s="38">
        <f>'[2]1 RawCompil CB September 2024'!F538</f>
        <v>0</v>
      </c>
      <c r="X46" s="38">
        <f>'[2]1 RawCompil CB September 2024'!F480</f>
        <v>0</v>
      </c>
      <c r="Y46" s="38">
        <f>'[2]1 RawCompil CB September 2024'!F567</f>
        <v>0</v>
      </c>
      <c r="Z46" s="38">
        <f>'[2]1 RawCompil CB September 2024'!F596</f>
        <v>0</v>
      </c>
      <c r="AA46" s="38">
        <f>'[2]1 RawCompil CB September 2024'!F625</f>
        <v>0</v>
      </c>
      <c r="AB46" s="38">
        <f>'[2]1 RawCompil CB September 2024'!F654</f>
        <v>4</v>
      </c>
      <c r="AC46" s="38">
        <f>'[2]1 RawCompil CB September 2024'!F683</f>
        <v>0</v>
      </c>
      <c r="AD46" s="38">
        <f>'[2]1 RawCompil CB September 2024'!F712</f>
        <v>3</v>
      </c>
      <c r="AE46" s="38">
        <f>'[2]1 RawCompil CB September 2024'!F828</f>
        <v>0</v>
      </c>
      <c r="AF46" s="38">
        <f>'[2]1 RawCompil CB September 2024'!F770</f>
        <v>0</v>
      </c>
      <c r="AG46" s="38">
        <f>'[2]1 RawCompil CB September 2024'!F741</f>
        <v>0</v>
      </c>
      <c r="AH46" s="38">
        <f>'[2]1 RawCompil CB September 2024'!F857</f>
        <v>0</v>
      </c>
      <c r="AI46" s="38"/>
      <c r="AJ46" s="88">
        <f t="shared" si="1"/>
        <v>230</v>
      </c>
    </row>
    <row r="47" spans="2:37" ht="16.5" thickTop="1" thickBot="1">
      <c r="B47" s="21" t="s">
        <v>9</v>
      </c>
      <c r="C47" s="2" t="s">
        <v>10</v>
      </c>
      <c r="D47" s="23" t="s">
        <v>100</v>
      </c>
      <c r="E47" s="38">
        <f>'[2]1 RawCompil CB September 2024'!F16</f>
        <v>52</v>
      </c>
      <c r="F47" s="38">
        <f>'[2]1 RawCompil CB September 2024'!F45</f>
        <v>1</v>
      </c>
      <c r="G47" s="38">
        <f>'[2]1 RawCompil CB September 2024'!F74</f>
        <v>7</v>
      </c>
      <c r="H47" s="38">
        <f>'[2]1 RawCompil CB September 2024'!F132</f>
        <v>0</v>
      </c>
      <c r="I47" s="38">
        <f>'[2]1 RawCompil CB September 2024'!F161</f>
        <v>31</v>
      </c>
      <c r="J47" s="38">
        <f>'[2]1 RawCompil CB September 2024'!F306</f>
        <v>21</v>
      </c>
      <c r="K47" s="38">
        <f>'[2]1 RawCompil CB September 2024'!F190</f>
        <v>2190</v>
      </c>
      <c r="L47" s="38">
        <f>'[2]1 RawCompil CB September 2024'!F219</f>
        <v>0</v>
      </c>
      <c r="M47" s="38">
        <f>'[2]1 RawCompil CB September 2024'!F335</f>
        <v>0</v>
      </c>
      <c r="N47" s="38">
        <f>'[2]1 RawCompil CB September 2024'!F800</f>
        <v>10</v>
      </c>
      <c r="O47" s="38">
        <f>'[2]1 RawCompil CB September 2024'!F248</f>
        <v>0</v>
      </c>
      <c r="P47" s="38">
        <f>'[2]1 RawCompil CB September 2024'!F277</f>
        <v>0</v>
      </c>
      <c r="Q47" s="38">
        <f>'[2]1 RawCompil CB September 2024'!F103</f>
        <v>0</v>
      </c>
      <c r="R47" s="38">
        <f>'[2]1 RawCompil CB September 2024'!F364</f>
        <v>0</v>
      </c>
      <c r="S47" s="38">
        <f>'[2]1 RawCompil CB September 2024'!F422</f>
        <v>0</v>
      </c>
      <c r="T47" s="38">
        <f>'[2]1 RawCompil CB September 2024'!F393</f>
        <v>0</v>
      </c>
      <c r="U47" s="38">
        <f>'[2]1 RawCompil CB September 2024'!F451</f>
        <v>3434</v>
      </c>
      <c r="V47" s="38">
        <f>'[2]1 RawCompil CB September 2024'!F510</f>
        <v>0</v>
      </c>
      <c r="W47" s="38">
        <f>'[2]1 RawCompil CB September 2024'!F539</f>
        <v>0</v>
      </c>
      <c r="X47" s="38">
        <f>'[2]1 RawCompil CB September 2024'!F481</f>
        <v>0</v>
      </c>
      <c r="Y47" s="38">
        <f>'[2]1 RawCompil CB September 2024'!F568</f>
        <v>0</v>
      </c>
      <c r="Z47" s="38">
        <f>'[2]1 RawCompil CB September 2024'!F597</f>
        <v>164</v>
      </c>
      <c r="AA47" s="38">
        <f>'[2]1 RawCompil CB September 2024'!F626</f>
        <v>160</v>
      </c>
      <c r="AB47" s="38">
        <f>'[2]1 RawCompil CB September 2024'!F655</f>
        <v>89</v>
      </c>
      <c r="AC47" s="38">
        <f>'[2]1 RawCompil CB September 2024'!F684</f>
        <v>3854</v>
      </c>
      <c r="AD47" s="38">
        <f>'[2]1 RawCompil CB September 2024'!F713</f>
        <v>1</v>
      </c>
      <c r="AE47" s="38">
        <f>'[2]1 RawCompil CB September 2024'!F829</f>
        <v>190</v>
      </c>
      <c r="AF47" s="38">
        <f>'[2]1 RawCompil CB September 2024'!F771</f>
        <v>0</v>
      </c>
      <c r="AG47" s="38">
        <f>'[2]1 RawCompil CB September 2024'!F742</f>
        <v>0</v>
      </c>
      <c r="AH47" s="38">
        <f>'[2]1 RawCompil CB September 2024'!F858</f>
        <v>0</v>
      </c>
      <c r="AI47" s="38"/>
      <c r="AJ47" s="88">
        <f t="shared" si="1"/>
        <v>10204</v>
      </c>
      <c r="AK47" s="28"/>
    </row>
    <row r="48" spans="2:37" ht="16.5" thickTop="1" thickBot="1">
      <c r="B48" s="21" t="s">
        <v>9</v>
      </c>
      <c r="C48" s="2" t="s">
        <v>11</v>
      </c>
      <c r="D48" s="23" t="s">
        <v>101</v>
      </c>
      <c r="E48" s="38">
        <f>'[2]1 RawCompil CB September 2024'!F17</f>
        <v>0</v>
      </c>
      <c r="F48" s="38">
        <f>'[2]1 RawCompil CB September 2024'!F46</f>
        <v>0</v>
      </c>
      <c r="G48" s="38">
        <f>'[2]1 RawCompil CB September 2024'!F75</f>
        <v>0</v>
      </c>
      <c r="H48" s="38">
        <f>'[2]1 RawCompil CB September 2024'!F133</f>
        <v>0</v>
      </c>
      <c r="I48" s="38">
        <f>'[2]1 RawCompil CB September 2024'!F162</f>
        <v>0</v>
      </c>
      <c r="J48" s="38">
        <f>'[2]1 RawCompil CB September 2024'!F307</f>
        <v>0</v>
      </c>
      <c r="K48" s="38">
        <f>'[2]1 RawCompil CB September 2024'!F191</f>
        <v>0</v>
      </c>
      <c r="L48" s="38">
        <f>'[2]1 RawCompil CB September 2024'!F220</f>
        <v>0</v>
      </c>
      <c r="M48" s="38">
        <f>'[2]1 RawCompil CB September 2024'!F336</f>
        <v>0</v>
      </c>
      <c r="N48" s="38">
        <f>'[2]1 RawCompil CB September 2024'!F801</f>
        <v>0</v>
      </c>
      <c r="O48" s="38">
        <f>'[2]1 RawCompil CB September 2024'!F249</f>
        <v>48</v>
      </c>
      <c r="P48" s="38">
        <f>'[2]1 RawCompil CB September 2024'!F278</f>
        <v>0</v>
      </c>
      <c r="Q48" s="38">
        <f>'[2]1 RawCompil CB September 2024'!F104</f>
        <v>0</v>
      </c>
      <c r="R48" s="38">
        <f>'[2]1 RawCompil CB September 2024'!F365</f>
        <v>0</v>
      </c>
      <c r="S48" s="38">
        <f>'[2]1 RawCompil CB September 2024'!F423</f>
        <v>0</v>
      </c>
      <c r="T48" s="38">
        <f>'[2]1 RawCompil CB September 2024'!F394</f>
        <v>0</v>
      </c>
      <c r="U48" s="38">
        <f>'[2]1 RawCompil CB September 2024'!F452</f>
        <v>0</v>
      </c>
      <c r="V48" s="38">
        <f>'[2]1 RawCompil CB September 2024'!F511</f>
        <v>0</v>
      </c>
      <c r="W48" s="38">
        <f>'[2]1 RawCompil CB September 2024'!F540</f>
        <v>0</v>
      </c>
      <c r="X48" s="38">
        <f>'[2]1 RawCompil CB September 2024'!F482</f>
        <v>0</v>
      </c>
      <c r="Y48" s="38">
        <f>'[2]1 RawCompil CB September 2024'!F569</f>
        <v>0</v>
      </c>
      <c r="Z48" s="38">
        <f>'[2]1 RawCompil CB September 2024'!F598</f>
        <v>0</v>
      </c>
      <c r="AA48" s="38">
        <f>'[2]1 RawCompil CB September 2024'!F627</f>
        <v>0</v>
      </c>
      <c r="AB48" s="38">
        <f>'[2]1 RawCompil CB September 2024'!F656</f>
        <v>0</v>
      </c>
      <c r="AC48" s="38">
        <f>'[2]1 RawCompil CB September 2024'!F685</f>
        <v>0</v>
      </c>
      <c r="AD48" s="38">
        <f>'[2]1 RawCompil CB September 2024'!F714</f>
        <v>0</v>
      </c>
      <c r="AE48" s="38">
        <f>'[2]1 RawCompil CB September 2024'!F830</f>
        <v>49</v>
      </c>
      <c r="AF48" s="38">
        <f>'[2]1 RawCompil CB September 2024'!F772</f>
        <v>0</v>
      </c>
      <c r="AG48" s="38">
        <f>'[2]1 RawCompil CB September 2024'!F743</f>
        <v>0</v>
      </c>
      <c r="AH48" s="38">
        <f>'[2]1 RawCompil CB September 2024'!F859</f>
        <v>0</v>
      </c>
      <c r="AI48" s="38"/>
      <c r="AJ48" s="88">
        <f t="shared" si="1"/>
        <v>97</v>
      </c>
    </row>
    <row r="49" spans="2:37" ht="16.5" thickTop="1" thickBot="1">
      <c r="B49" s="21" t="s">
        <v>12</v>
      </c>
      <c r="C49" s="2" t="s">
        <v>13</v>
      </c>
      <c r="D49" s="23" t="s">
        <v>102</v>
      </c>
      <c r="E49" s="38">
        <f>'[2]1 RawCompil CB September 2024'!F18</f>
        <v>0</v>
      </c>
      <c r="F49" s="38">
        <f>'[2]1 RawCompil CB September 2024'!F47</f>
        <v>1305</v>
      </c>
      <c r="G49" s="38">
        <f>'[2]1 RawCompil CB September 2024'!F76</f>
        <v>0</v>
      </c>
      <c r="H49" s="38">
        <f>'[2]1 RawCompil CB September 2024'!F134</f>
        <v>84</v>
      </c>
      <c r="I49" s="38">
        <f>'[2]1 RawCompil CB September 2024'!F163</f>
        <v>0</v>
      </c>
      <c r="J49" s="38">
        <f>'[2]1 RawCompil CB September 2024'!F308</f>
        <v>6075</v>
      </c>
      <c r="K49" s="38">
        <f>'[2]1 RawCompil CB September 2024'!F192</f>
        <v>666</v>
      </c>
      <c r="L49" s="38">
        <f>'[2]1 RawCompil CB September 2024'!F221</f>
        <v>1005</v>
      </c>
      <c r="M49" s="38">
        <f>'[2]1 RawCompil CB September 2024'!F337</f>
        <v>4606</v>
      </c>
      <c r="N49" s="38">
        <f>'[2]1 RawCompil CB September 2024'!F802</f>
        <v>7430</v>
      </c>
      <c r="O49" s="38">
        <f>'[2]1 RawCompil CB September 2024'!F250</f>
        <v>1913</v>
      </c>
      <c r="P49" s="38">
        <f>'[2]1 RawCompil CB September 2024'!F279</f>
        <v>9444</v>
      </c>
      <c r="Q49" s="38">
        <f>'[2]1 RawCompil CB September 2024'!F105</f>
        <v>0</v>
      </c>
      <c r="R49" s="38">
        <f>'[2]1 RawCompil CB September 2024'!F366</f>
        <v>0</v>
      </c>
      <c r="S49" s="38">
        <f>'[2]1 RawCompil CB September 2024'!F424</f>
        <v>0</v>
      </c>
      <c r="T49" s="38">
        <f>'[2]1 RawCompil CB September 2024'!F395</f>
        <v>0</v>
      </c>
      <c r="U49" s="38">
        <f>'[2]1 RawCompil CB September 2024'!F453</f>
        <v>1291</v>
      </c>
      <c r="V49" s="38">
        <f>'[2]1 RawCompil CB September 2024'!F512</f>
        <v>279</v>
      </c>
      <c r="W49" s="38">
        <f>'[2]1 RawCompil CB September 2024'!F541</f>
        <v>2</v>
      </c>
      <c r="X49" s="38">
        <f>'[2]1 RawCompil CB September 2024'!F483</f>
        <v>0</v>
      </c>
      <c r="Y49" s="38">
        <f>'[2]1 RawCompil CB September 2024'!F570</f>
        <v>0</v>
      </c>
      <c r="Z49" s="38">
        <f>'[2]1 RawCompil CB September 2024'!F599</f>
        <v>160</v>
      </c>
      <c r="AA49" s="38">
        <f>'[2]1 RawCompil CB September 2024'!F628</f>
        <v>0</v>
      </c>
      <c r="AB49" s="38">
        <f>'[2]1 RawCompil CB September 2024'!F657</f>
        <v>1095</v>
      </c>
      <c r="AC49" s="38">
        <f>'[2]1 RawCompil CB September 2024'!F686</f>
        <v>62</v>
      </c>
      <c r="AD49" s="38">
        <f>'[2]1 RawCompil CB September 2024'!F715</f>
        <v>19</v>
      </c>
      <c r="AE49" s="38">
        <f>'[2]1 RawCompil CB September 2024'!F831</f>
        <v>1199</v>
      </c>
      <c r="AF49" s="38">
        <f>'[2]1 RawCompil CB September 2024'!F773</f>
        <v>32</v>
      </c>
      <c r="AG49" s="38">
        <f>'[2]1 RawCompil CB September 2024'!F744</f>
        <v>0</v>
      </c>
      <c r="AH49" s="38">
        <f>'[2]1 RawCompil CB September 2024'!F860</f>
        <v>0</v>
      </c>
      <c r="AI49" s="38"/>
      <c r="AJ49" s="88">
        <f t="shared" si="1"/>
        <v>36667</v>
      </c>
      <c r="AK49" s="28"/>
    </row>
    <row r="50" spans="2:37" ht="16.5" thickTop="1" thickBot="1">
      <c r="B50" s="21" t="s">
        <v>30</v>
      </c>
      <c r="C50" s="40" t="s">
        <v>130</v>
      </c>
      <c r="D50" s="41" t="s">
        <v>103</v>
      </c>
      <c r="E50" s="38">
        <f>'[2]1 RawCompil CB September 2024'!F19</f>
        <v>0</v>
      </c>
      <c r="F50" s="38">
        <f>'[2]1 RawCompil CB September 2024'!F48</f>
        <v>0</v>
      </c>
      <c r="G50" s="38">
        <f>'[2]1 RawCompil CB September 2024'!F77</f>
        <v>0</v>
      </c>
      <c r="H50" s="38">
        <f>'[2]1 RawCompil CB September 2024'!F135</f>
        <v>0</v>
      </c>
      <c r="I50" s="38">
        <f>'[2]1 RawCompil CB September 2024'!F164</f>
        <v>0</v>
      </c>
      <c r="J50" s="38">
        <f>'[2]1 RawCompil CB September 2024'!F309</f>
        <v>0</v>
      </c>
      <c r="K50" s="38">
        <f>'[2]1 RawCompil CB September 2024'!F193</f>
        <v>0</v>
      </c>
      <c r="L50" s="38">
        <f>'[2]1 RawCompil CB September 2024'!F222</f>
        <v>0</v>
      </c>
      <c r="M50" s="38">
        <f>'[2]1 RawCompil CB September 2024'!F338</f>
        <v>0</v>
      </c>
      <c r="N50" s="38">
        <f>'[2]1 RawCompil CB September 2024'!F803</f>
        <v>3</v>
      </c>
      <c r="O50" s="38">
        <f>'[2]1 RawCompil CB September 2024'!F251</f>
        <v>0</v>
      </c>
      <c r="P50" s="38">
        <f>'[2]1 RawCompil CB September 2024'!F280</f>
        <v>0</v>
      </c>
      <c r="Q50" s="38">
        <f>'[2]1 RawCompil CB September 2024'!F106</f>
        <v>0</v>
      </c>
      <c r="R50" s="38">
        <f>'[2]1 RawCompil CB September 2024'!F367</f>
        <v>0</v>
      </c>
      <c r="S50" s="38">
        <f>'[2]1 RawCompil CB September 2024'!F425</f>
        <v>0</v>
      </c>
      <c r="T50" s="38">
        <f>'[2]1 RawCompil CB September 2024'!F396</f>
        <v>0</v>
      </c>
      <c r="U50" s="38">
        <f>'[2]1 RawCompil CB September 2024'!F454</f>
        <v>0</v>
      </c>
      <c r="V50" s="38">
        <f>'[2]1 RawCompil CB September 2024'!F513</f>
        <v>0</v>
      </c>
      <c r="W50" s="38">
        <f>'[2]1 RawCompil CB September 2024'!F542</f>
        <v>0</v>
      </c>
      <c r="X50" s="38">
        <f>'[2]1 RawCompil CB September 2024'!F484</f>
        <v>0</v>
      </c>
      <c r="Y50" s="38">
        <f>'[2]1 RawCompil CB September 2024'!F571</f>
        <v>0</v>
      </c>
      <c r="Z50" s="38">
        <f>'[2]1 RawCompil CB September 2024'!F600</f>
        <v>0</v>
      </c>
      <c r="AA50" s="38">
        <f>'[2]1 RawCompil CB September 2024'!F629</f>
        <v>0</v>
      </c>
      <c r="AB50" s="38">
        <f>'[2]1 RawCompil CB September 2024'!F658</f>
        <v>0</v>
      </c>
      <c r="AC50" s="38">
        <f>'[2]1 RawCompil CB September 2024'!F687</f>
        <v>0</v>
      </c>
      <c r="AD50" s="38">
        <f>'[2]1 RawCompil CB September 2024'!F716</f>
        <v>0</v>
      </c>
      <c r="AE50" s="38">
        <f>'[2]1 RawCompil CB September 2024'!F832</f>
        <v>0</v>
      </c>
      <c r="AF50" s="38">
        <f>'[2]1 RawCompil CB September 2024'!F774</f>
        <v>0</v>
      </c>
      <c r="AG50" s="38">
        <f>'[2]1 RawCompil CB September 2024'!F745</f>
        <v>0</v>
      </c>
      <c r="AH50" s="38">
        <f>'[2]1 RawCompil CB September 2024'!F861</f>
        <v>0</v>
      </c>
      <c r="AI50" s="38"/>
      <c r="AJ50" s="88">
        <f t="shared" si="1"/>
        <v>3</v>
      </c>
    </row>
    <row r="51" spans="2:37" ht="16.5" thickTop="1" thickBot="1">
      <c r="B51" s="21" t="s">
        <v>29</v>
      </c>
      <c r="C51" s="2" t="s">
        <v>24</v>
      </c>
      <c r="D51" s="23" t="s">
        <v>115</v>
      </c>
      <c r="E51" s="38">
        <f>'[2]1 RawCompil CB September 2024'!F20</f>
        <v>3</v>
      </c>
      <c r="F51" s="38">
        <f>'[2]1 RawCompil CB September 2024'!F49</f>
        <v>0</v>
      </c>
      <c r="G51" s="38">
        <f>'[2]1 RawCompil CB September 2024'!F78</f>
        <v>0</v>
      </c>
      <c r="H51" s="38">
        <f>'[2]1 RawCompil CB September 2024'!F136</f>
        <v>0</v>
      </c>
      <c r="I51" s="38">
        <f>'[2]1 RawCompil CB September 2024'!F165</f>
        <v>0</v>
      </c>
      <c r="J51" s="38">
        <f>'[2]1 RawCompil CB September 2024'!F310</f>
        <v>465</v>
      </c>
      <c r="K51" s="38">
        <f>'[2]1 RawCompil CB September 2024'!F194</f>
        <v>0</v>
      </c>
      <c r="L51" s="38">
        <f>'[2]1 RawCompil CB September 2024'!F223</f>
        <v>0</v>
      </c>
      <c r="M51" s="38">
        <f>'[2]1 RawCompil CB September 2024'!F339</f>
        <v>0</v>
      </c>
      <c r="N51" s="38">
        <f>'[2]1 RawCompil CB September 2024'!F804</f>
        <v>4</v>
      </c>
      <c r="O51" s="38">
        <f>'[2]1 RawCompil CB September 2024'!F252</f>
        <v>0</v>
      </c>
      <c r="P51" s="38">
        <f>'[2]1 RawCompil CB September 2024'!F281</f>
        <v>0</v>
      </c>
      <c r="Q51" s="38">
        <f>'[2]1 RawCompil CB September 2024'!F107</f>
        <v>0</v>
      </c>
      <c r="R51" s="38">
        <f>'[2]1 RawCompil CB September 2024'!F368</f>
        <v>0</v>
      </c>
      <c r="S51" s="38">
        <f>'[2]1 RawCompil CB September 2024'!F426</f>
        <v>0</v>
      </c>
      <c r="T51" s="38">
        <f>'[2]1 RawCompil CB September 2024'!F397</f>
        <v>0</v>
      </c>
      <c r="U51" s="38">
        <f>'[2]1 RawCompil CB September 2024'!F455</f>
        <v>0</v>
      </c>
      <c r="V51" s="38">
        <f>'[2]1 RawCompil CB September 2024'!F514</f>
        <v>0</v>
      </c>
      <c r="W51" s="38">
        <f>'[2]1 RawCompil CB September 2024'!F543</f>
        <v>0</v>
      </c>
      <c r="X51" s="38">
        <f>'[2]1 RawCompil CB September 2024'!F485</f>
        <v>0</v>
      </c>
      <c r="Y51" s="38">
        <f>'[2]1 RawCompil CB September 2024'!F572</f>
        <v>0</v>
      </c>
      <c r="Z51" s="38">
        <f>'[2]1 RawCompil CB September 2024'!F601</f>
        <v>0</v>
      </c>
      <c r="AA51" s="38">
        <f>'[2]1 RawCompil CB September 2024'!F630</f>
        <v>0</v>
      </c>
      <c r="AB51" s="38">
        <f>'[2]1 RawCompil CB September 2024'!F659</f>
        <v>0</v>
      </c>
      <c r="AC51" s="38">
        <f>'[2]1 RawCompil CB September 2024'!F688</f>
        <v>0</v>
      </c>
      <c r="AD51" s="38">
        <f>'[2]1 RawCompil CB September 2024'!F717</f>
        <v>0</v>
      </c>
      <c r="AE51" s="38">
        <f>'[2]1 RawCompil CB September 2024'!F833</f>
        <v>1784</v>
      </c>
      <c r="AF51" s="38">
        <f>'[2]1 RawCompil CB September 2024'!F775</f>
        <v>0</v>
      </c>
      <c r="AG51" s="38">
        <f>'[2]1 RawCompil CB September 2024'!F746</f>
        <v>0</v>
      </c>
      <c r="AH51" s="38">
        <f>'[2]1 RawCompil CB September 2024'!F862</f>
        <v>0</v>
      </c>
      <c r="AI51" s="38"/>
      <c r="AJ51" s="88">
        <f t="shared" si="1"/>
        <v>2256</v>
      </c>
      <c r="AK51" s="28"/>
    </row>
    <row r="52" spans="2:37" ht="16.5" thickTop="1" thickBot="1">
      <c r="B52" s="21" t="s">
        <v>29</v>
      </c>
      <c r="C52" s="2" t="s">
        <v>173</v>
      </c>
      <c r="D52" s="77" t="s">
        <v>104</v>
      </c>
      <c r="E52" s="38">
        <f>'[2]1 RawCompil CB September 2024'!F21</f>
        <v>0</v>
      </c>
      <c r="F52" s="38">
        <f>'[2]1 RawCompil CB September 2024'!F50</f>
        <v>0</v>
      </c>
      <c r="G52" s="38">
        <f>'[2]1 RawCompil CB September 2024'!F79</f>
        <v>0</v>
      </c>
      <c r="H52" s="38">
        <f>'[2]1 RawCompil CB September 2024'!F137</f>
        <v>0</v>
      </c>
      <c r="I52" s="38">
        <f>'[2]1 RawCompil CB September 2024'!F166</f>
        <v>4981</v>
      </c>
      <c r="J52" s="38">
        <f>'[2]1 RawCompil CB September 2024'!F311</f>
        <v>0</v>
      </c>
      <c r="K52" s="38">
        <f>'[2]1 RawCompil CB September 2024'!F195</f>
        <v>0</v>
      </c>
      <c r="L52" s="38">
        <f>'[2]1 RawCompil CB September 2024'!F224</f>
        <v>0</v>
      </c>
      <c r="M52" s="38">
        <f>'[2]1 RawCompil CB September 2024'!F340</f>
        <v>0</v>
      </c>
      <c r="N52" s="38">
        <f>'[2]1 RawCompil CB September 2024'!F805</f>
        <v>16</v>
      </c>
      <c r="O52" s="38">
        <f>'[2]1 RawCompil CB September 2024'!F253</f>
        <v>0</v>
      </c>
      <c r="P52" s="38">
        <f>'[2]1 RawCompil CB September 2024'!F282</f>
        <v>0</v>
      </c>
      <c r="Q52" s="38">
        <f>'[2]1 RawCompil CB September 2024'!F108</f>
        <v>0</v>
      </c>
      <c r="R52" s="38">
        <f>'[2]1 RawCompil CB September 2024'!F369</f>
        <v>0</v>
      </c>
      <c r="S52" s="38">
        <f>'[2]1 RawCompil CB September 2024'!F427</f>
        <v>0</v>
      </c>
      <c r="T52" s="38">
        <f>'[2]1 RawCompil CB September 2024'!F398</f>
        <v>0</v>
      </c>
      <c r="U52" s="38">
        <f>'[2]1 RawCompil CB September 2024'!F456</f>
        <v>0</v>
      </c>
      <c r="V52" s="38">
        <f>'[2]1 RawCompil CB September 2024'!F515</f>
        <v>0</v>
      </c>
      <c r="W52" s="38">
        <f>'[2]1 RawCompil CB September 2024'!F544</f>
        <v>0</v>
      </c>
      <c r="X52" s="38">
        <f>'[2]1 RawCompil CB September 2024'!F486</f>
        <v>0</v>
      </c>
      <c r="Y52" s="38">
        <f>'[2]1 RawCompil CB September 2024'!F573</f>
        <v>0</v>
      </c>
      <c r="Z52" s="38">
        <f>'[2]1 RawCompil CB September 2024'!F602</f>
        <v>0</v>
      </c>
      <c r="AA52" s="38">
        <f>'[2]1 RawCompil CB September 2024'!F631</f>
        <v>0</v>
      </c>
      <c r="AB52" s="38">
        <f>'[2]1 RawCompil CB September 2024'!F660</f>
        <v>0</v>
      </c>
      <c r="AC52" s="38">
        <f>'[2]1 RawCompil CB September 2024'!F689</f>
        <v>0</v>
      </c>
      <c r="AD52" s="38">
        <f>'[2]1 RawCompil CB September 2024'!F718</f>
        <v>0</v>
      </c>
      <c r="AE52" s="38">
        <f>'[2]1 RawCompil CB September 2024'!F834</f>
        <v>0</v>
      </c>
      <c r="AF52" s="38">
        <f>'[2]1 RawCompil CB September 2024'!F776</f>
        <v>0</v>
      </c>
      <c r="AG52" s="38">
        <f>'[2]1 RawCompil CB September 2024'!F747</f>
        <v>0</v>
      </c>
      <c r="AH52" s="38">
        <f>'[2]1 RawCompil CB September 2024'!F863</f>
        <v>0</v>
      </c>
      <c r="AI52" s="38"/>
      <c r="AJ52" s="88">
        <f t="shared" si="1"/>
        <v>4997</v>
      </c>
    </row>
    <row r="53" spans="2:37" ht="25.5" thickTop="1" thickBot="1">
      <c r="B53" s="21" t="s">
        <v>16</v>
      </c>
      <c r="C53" s="2" t="s">
        <v>26</v>
      </c>
      <c r="D53" s="23" t="s">
        <v>105</v>
      </c>
      <c r="E53" s="38">
        <f>'[2]1 RawCompil CB September 2024'!F22</f>
        <v>48</v>
      </c>
      <c r="F53" s="38">
        <f>'[2]1 RawCompil CB September 2024'!F51</f>
        <v>0</v>
      </c>
      <c r="G53" s="38">
        <f>'[2]1 RawCompil CB September 2024'!F80</f>
        <v>0</v>
      </c>
      <c r="H53" s="38">
        <f>'[2]1 RawCompil CB September 2024'!F138</f>
        <v>0</v>
      </c>
      <c r="I53" s="38">
        <f>'[2]1 RawCompil CB September 2024'!F167</f>
        <v>8</v>
      </c>
      <c r="J53" s="38">
        <f>'[2]1 RawCompil CB September 2024'!F312</f>
        <v>2</v>
      </c>
      <c r="K53" s="38">
        <f>'[2]1 RawCompil CB September 2024'!F196</f>
        <v>2420</v>
      </c>
      <c r="L53" s="38">
        <f>'[2]1 RawCompil CB September 2024'!F225</f>
        <v>0</v>
      </c>
      <c r="M53" s="38">
        <f>'[2]1 RawCompil CB September 2024'!F341</f>
        <v>0</v>
      </c>
      <c r="N53" s="38">
        <f>'[2]1 RawCompil CB September 2024'!F806</f>
        <v>104</v>
      </c>
      <c r="O53" s="38">
        <f>'[2]1 RawCompil CB September 2024'!F254</f>
        <v>1</v>
      </c>
      <c r="P53" s="38">
        <f>'[2]1 RawCompil CB September 2024'!F283</f>
        <v>0</v>
      </c>
      <c r="Q53" s="38">
        <f>'[2]1 RawCompil CB September 2024'!F109</f>
        <v>0</v>
      </c>
      <c r="R53" s="38">
        <f>'[2]1 RawCompil CB September 2024'!F370</f>
        <v>0</v>
      </c>
      <c r="S53" s="38">
        <f>'[2]1 RawCompil CB September 2024'!F428</f>
        <v>0</v>
      </c>
      <c r="T53" s="38">
        <f>'[2]1 RawCompil CB September 2024'!F399</f>
        <v>0</v>
      </c>
      <c r="U53" s="38">
        <f>'[2]1 RawCompil CB September 2024'!F457</f>
        <v>297</v>
      </c>
      <c r="V53" s="38">
        <f>'[2]1 RawCompil CB September 2024'!F516</f>
        <v>0</v>
      </c>
      <c r="W53" s="38">
        <f>'[2]1 RawCompil CB September 2024'!F545</f>
        <v>0</v>
      </c>
      <c r="X53" s="38">
        <f>'[2]1 RawCompil CB September 2024'!F487</f>
        <v>0</v>
      </c>
      <c r="Y53" s="38">
        <f>'[2]1 RawCompil CB September 2024'!F574</f>
        <v>0</v>
      </c>
      <c r="Z53" s="38">
        <f>'[2]1 RawCompil CB September 2024'!F603</f>
        <v>39</v>
      </c>
      <c r="AA53" s="38">
        <f>'[2]1 RawCompil CB September 2024'!F632</f>
        <v>23</v>
      </c>
      <c r="AB53" s="38">
        <f>'[2]1 RawCompil CB September 2024'!F661</f>
        <v>992</v>
      </c>
      <c r="AC53" s="38">
        <f>'[2]1 RawCompil CB September 2024'!F690</f>
        <v>0</v>
      </c>
      <c r="AD53" s="38">
        <f>'[2]1 RawCompil CB September 2024'!F719</f>
        <v>9</v>
      </c>
      <c r="AE53" s="38">
        <f>'[2]1 RawCompil CB September 2024'!F835</f>
        <v>1</v>
      </c>
      <c r="AF53" s="38">
        <f>'[2]1 RawCompil CB September 2024'!F777</f>
        <v>0</v>
      </c>
      <c r="AG53" s="38">
        <f>'[2]1 RawCompil CB September 2024'!F748</f>
        <v>0</v>
      </c>
      <c r="AH53" s="38">
        <f>'[2]1 RawCompil CB September 2024'!F864</f>
        <v>0</v>
      </c>
      <c r="AI53" s="38"/>
      <c r="AJ53" s="88">
        <f t="shared" si="1"/>
        <v>3944</v>
      </c>
      <c r="AK53" s="28"/>
    </row>
    <row r="54" spans="2:37" ht="25.5" thickTop="1" thickBot="1">
      <c r="B54" s="21" t="s">
        <v>16</v>
      </c>
      <c r="C54" s="2" t="s">
        <v>25</v>
      </c>
      <c r="D54" s="23" t="s">
        <v>106</v>
      </c>
      <c r="E54" s="38">
        <f>'[2]1 RawCompil CB September 2024'!F23</f>
        <v>23</v>
      </c>
      <c r="F54" s="38">
        <f>'[2]1 RawCompil CB September 2024'!F52</f>
        <v>0</v>
      </c>
      <c r="G54" s="38">
        <f>'[2]1 RawCompil CB September 2024'!F81</f>
        <v>0</v>
      </c>
      <c r="H54" s="38">
        <f>'[2]1 RawCompil CB September 2024'!F139</f>
        <v>0</v>
      </c>
      <c r="I54" s="38">
        <f>'[2]1 RawCompil CB September 2024'!F168</f>
        <v>0</v>
      </c>
      <c r="J54" s="38">
        <f>'[2]1 RawCompil CB September 2024'!F313</f>
        <v>0</v>
      </c>
      <c r="K54" s="38">
        <f>'[2]1 RawCompil CB September 2024'!F197</f>
        <v>0</v>
      </c>
      <c r="L54" s="38">
        <f>'[2]1 RawCompil CB September 2024'!F226</f>
        <v>0</v>
      </c>
      <c r="M54" s="38">
        <f>'[2]1 RawCompil CB September 2024'!F342</f>
        <v>0</v>
      </c>
      <c r="N54" s="38">
        <f>'[2]1 RawCompil CB September 2024'!F807</f>
        <v>0</v>
      </c>
      <c r="O54" s="38">
        <f>'[2]1 RawCompil CB September 2024'!F255</f>
        <v>0</v>
      </c>
      <c r="P54" s="38">
        <f>'[2]1 RawCompil CB September 2024'!F284</f>
        <v>0</v>
      </c>
      <c r="Q54" s="38">
        <f>'[2]1 RawCompil CB September 2024'!F110</f>
        <v>0</v>
      </c>
      <c r="R54" s="38">
        <f>'[2]1 RawCompil CB September 2024'!F371</f>
        <v>0</v>
      </c>
      <c r="S54" s="38">
        <f>'[2]1 RawCompil CB September 2024'!F429</f>
        <v>0</v>
      </c>
      <c r="T54" s="38">
        <f>'[2]1 RawCompil CB September 2024'!F400</f>
        <v>0</v>
      </c>
      <c r="U54" s="38">
        <f>'[2]1 RawCompil CB September 2024'!F458</f>
        <v>0</v>
      </c>
      <c r="V54" s="38">
        <f>'[2]1 RawCompil CB September 2024'!F517</f>
        <v>0</v>
      </c>
      <c r="W54" s="38">
        <f>'[2]1 RawCompil CB September 2024'!F546</f>
        <v>0</v>
      </c>
      <c r="X54" s="38">
        <f>'[2]1 RawCompil CB September 2024'!F488</f>
        <v>0</v>
      </c>
      <c r="Y54" s="38">
        <f>'[2]1 RawCompil CB September 2024'!F575</f>
        <v>0</v>
      </c>
      <c r="Z54" s="38">
        <f>'[2]1 RawCompil CB September 2024'!F604</f>
        <v>0</v>
      </c>
      <c r="AA54" s="38">
        <f>'[2]1 RawCompil CB September 2024'!F633</f>
        <v>0</v>
      </c>
      <c r="AB54" s="38">
        <f>'[2]1 RawCompil CB September 2024'!F662</f>
        <v>0</v>
      </c>
      <c r="AC54" s="38">
        <f>'[2]1 RawCompil CB September 2024'!F691</f>
        <v>0</v>
      </c>
      <c r="AD54" s="38">
        <f>'[2]1 RawCompil CB September 2024'!F720</f>
        <v>0</v>
      </c>
      <c r="AE54" s="38">
        <f>'[2]1 RawCompil CB September 2024'!F836</f>
        <v>0</v>
      </c>
      <c r="AF54" s="38">
        <f>'[2]1 RawCompil CB September 2024'!F778</f>
        <v>0</v>
      </c>
      <c r="AG54" s="38">
        <f>'[2]1 RawCompil CB September 2024'!F749</f>
        <v>0</v>
      </c>
      <c r="AH54" s="38">
        <f>'[2]1 RawCompil CB September 2024'!F865</f>
        <v>0</v>
      </c>
      <c r="AI54" s="38"/>
      <c r="AJ54" s="88">
        <f t="shared" si="1"/>
        <v>23</v>
      </c>
    </row>
    <row r="55" spans="2:37" ht="16.5" thickTop="1" thickBot="1">
      <c r="B55" s="21" t="s">
        <v>17</v>
      </c>
      <c r="C55" s="2" t="s">
        <v>181</v>
      </c>
      <c r="D55" s="23" t="s">
        <v>107</v>
      </c>
      <c r="E55" s="38">
        <f>'[2]1 RawCompil CB September 2024'!F24</f>
        <v>0</v>
      </c>
      <c r="F55" s="38">
        <f>'[2]1 RawCompil CB September 2024'!F53</f>
        <v>3</v>
      </c>
      <c r="G55" s="38">
        <f>'[2]1 RawCompil CB September 2024'!F82</f>
        <v>0</v>
      </c>
      <c r="H55" s="38">
        <f>'[2]1 RawCompil CB September 2024'!F140</f>
        <v>0</v>
      </c>
      <c r="I55" s="38">
        <f>'[2]1 RawCompil CB September 2024'!F169</f>
        <v>0</v>
      </c>
      <c r="J55" s="38">
        <f>'[2]1 RawCompil CB September 2024'!F314</f>
        <v>0</v>
      </c>
      <c r="K55" s="38">
        <f>'[2]1 RawCompil CB September 2024'!F198</f>
        <v>3</v>
      </c>
      <c r="L55" s="38">
        <f>'[2]1 RawCompil CB September 2024'!F227</f>
        <v>0</v>
      </c>
      <c r="M55" s="38">
        <f>'[2]1 RawCompil CB September 2024'!F343</f>
        <v>0</v>
      </c>
      <c r="N55" s="38">
        <f>'[2]1 RawCompil CB September 2024'!F808</f>
        <v>3</v>
      </c>
      <c r="O55" s="38">
        <f>'[2]1 RawCompil CB September 2024'!F256</f>
        <v>0</v>
      </c>
      <c r="P55" s="38">
        <f>'[2]1 RawCompil CB September 2024'!F285</f>
        <v>71</v>
      </c>
      <c r="Q55" s="38">
        <f>'[2]1 RawCompil CB September 2024'!F111</f>
        <v>0</v>
      </c>
      <c r="R55" s="38">
        <f>'[2]1 RawCompil CB September 2024'!F372</f>
        <v>0</v>
      </c>
      <c r="S55" s="38">
        <f>'[2]1 RawCompil CB September 2024'!F430</f>
        <v>0</v>
      </c>
      <c r="T55" s="38">
        <f>'[2]1 RawCompil CB September 2024'!F401</f>
        <v>0</v>
      </c>
      <c r="U55" s="38">
        <f>'[2]1 RawCompil CB September 2024'!F459</f>
        <v>0</v>
      </c>
      <c r="V55" s="38">
        <f>'[2]1 RawCompil CB September 2024'!F518</f>
        <v>0</v>
      </c>
      <c r="W55" s="38">
        <f>'[2]1 RawCompil CB September 2024'!F547</f>
        <v>0</v>
      </c>
      <c r="X55" s="38">
        <f>'[2]1 RawCompil CB September 2024'!F489</f>
        <v>0</v>
      </c>
      <c r="Y55" s="38">
        <f>'[2]1 RawCompil CB September 2024'!F576</f>
        <v>0</v>
      </c>
      <c r="Z55" s="38">
        <f>'[2]1 RawCompil CB September 2024'!F605</f>
        <v>0</v>
      </c>
      <c r="AA55" s="38">
        <f>'[2]1 RawCompil CB September 2024'!F634</f>
        <v>0</v>
      </c>
      <c r="AB55" s="38">
        <f>'[2]1 RawCompil CB September 2024'!F663</f>
        <v>0</v>
      </c>
      <c r="AC55" s="38">
        <f>'[2]1 RawCompil CB September 2024'!F692</f>
        <v>0</v>
      </c>
      <c r="AD55" s="38">
        <f>'[2]1 RawCompil CB September 2024'!F721</f>
        <v>0</v>
      </c>
      <c r="AE55" s="38">
        <f>'[2]1 RawCompil CB September 2024'!F837</f>
        <v>0</v>
      </c>
      <c r="AF55" s="38">
        <f>'[2]1 RawCompil CB September 2024'!F779</f>
        <v>0</v>
      </c>
      <c r="AG55" s="38">
        <f>'[2]1 RawCompil CB September 2024'!F750</f>
        <v>0</v>
      </c>
      <c r="AH55" s="38">
        <f>'[2]1 RawCompil CB September 2024'!F866</f>
        <v>0</v>
      </c>
      <c r="AI55" s="38"/>
      <c r="AJ55" s="88">
        <f t="shared" si="1"/>
        <v>80</v>
      </c>
      <c r="AK55" s="28"/>
    </row>
    <row r="56" spans="2:37" ht="16.5" thickTop="1" thickBot="1">
      <c r="B56" s="21" t="s">
        <v>19</v>
      </c>
      <c r="C56" s="2" t="s">
        <v>20</v>
      </c>
      <c r="D56" s="23" t="s">
        <v>108</v>
      </c>
      <c r="E56" s="38">
        <f>'[2]1 RawCompil CB September 2024'!F25</f>
        <v>4</v>
      </c>
      <c r="F56" s="38">
        <f>'[2]1 RawCompil CB September 2024'!F54</f>
        <v>36</v>
      </c>
      <c r="G56" s="38">
        <f>'[2]1 RawCompil CB September 2024'!F83</f>
        <v>0</v>
      </c>
      <c r="H56" s="38">
        <f>'[2]1 RawCompil CB September 2024'!F141</f>
        <v>0</v>
      </c>
      <c r="I56" s="38">
        <f>'[2]1 RawCompil CB September 2024'!F170</f>
        <v>13</v>
      </c>
      <c r="J56" s="38">
        <f>'[2]1 RawCompil CB September 2024'!F315</f>
        <v>152</v>
      </c>
      <c r="K56" s="38">
        <f>'[2]1 RawCompil CB September 2024'!F199</f>
        <v>0</v>
      </c>
      <c r="L56" s="38">
        <f>'[2]1 RawCompil CB September 2024'!F228</f>
        <v>0</v>
      </c>
      <c r="M56" s="38">
        <f>'[2]1 RawCompil CB September 2024'!F344</f>
        <v>0</v>
      </c>
      <c r="N56" s="38">
        <f>'[2]1 RawCompil CB September 2024'!F809</f>
        <v>46</v>
      </c>
      <c r="O56" s="38">
        <f>'[2]1 RawCompil CB September 2024'!F257</f>
        <v>4</v>
      </c>
      <c r="P56" s="38">
        <f>'[2]1 RawCompil CB September 2024'!F286</f>
        <v>82</v>
      </c>
      <c r="Q56" s="38">
        <f>'[2]1 RawCompil CB September 2024'!F112</f>
        <v>0</v>
      </c>
      <c r="R56" s="38">
        <f>'[2]1 RawCompil CB September 2024'!F373</f>
        <v>0</v>
      </c>
      <c r="S56" s="38">
        <f>'[2]1 RawCompil CB September 2024'!F431</f>
        <v>6</v>
      </c>
      <c r="T56" s="38">
        <f>'[2]1 RawCompil CB September 2024'!F402</f>
        <v>0</v>
      </c>
      <c r="U56" s="38">
        <f>'[2]1 RawCompil CB September 2024'!F460</f>
        <v>33</v>
      </c>
      <c r="V56" s="38">
        <f>'[2]1 RawCompil CB September 2024'!F519</f>
        <v>0</v>
      </c>
      <c r="W56" s="38">
        <f>'[2]1 RawCompil CB September 2024'!F548</f>
        <v>0</v>
      </c>
      <c r="X56" s="38">
        <f>'[2]1 RawCompil CB September 2024'!F490</f>
        <v>0</v>
      </c>
      <c r="Y56" s="38">
        <f>'[2]1 RawCompil CB September 2024'!F577</f>
        <v>0</v>
      </c>
      <c r="Z56" s="38">
        <f>'[2]1 RawCompil CB September 2024'!F606</f>
        <v>250</v>
      </c>
      <c r="AA56" s="38">
        <f>'[2]1 RawCompil CB September 2024'!F635</f>
        <v>0</v>
      </c>
      <c r="AB56" s="38">
        <f>'[2]1 RawCompil CB September 2024'!F664</f>
        <v>1</v>
      </c>
      <c r="AC56" s="38">
        <f>'[2]1 RawCompil CB September 2024'!F693</f>
        <v>0</v>
      </c>
      <c r="AD56" s="38">
        <f>'[2]1 RawCompil CB September 2024'!F722</f>
        <v>0</v>
      </c>
      <c r="AE56" s="38">
        <f>'[2]1 RawCompil CB September 2024'!F838</f>
        <v>61</v>
      </c>
      <c r="AF56" s="38">
        <f>'[2]1 RawCompil CB September 2024'!F780</f>
        <v>0</v>
      </c>
      <c r="AG56" s="38">
        <f>'[2]1 RawCompil CB September 2024'!F751</f>
        <v>0</v>
      </c>
      <c r="AH56" s="38">
        <f>'[2]1 RawCompil CB September 2024'!F867</f>
        <v>0</v>
      </c>
      <c r="AI56" s="38"/>
      <c r="AJ56" s="88">
        <f t="shared" si="1"/>
        <v>688</v>
      </c>
    </row>
    <row r="57" spans="2:37" ht="16.5" thickTop="1" thickBot="1">
      <c r="B57" s="21" t="s">
        <v>21</v>
      </c>
      <c r="C57" s="2" t="s">
        <v>128</v>
      </c>
      <c r="D57" s="23" t="s">
        <v>111</v>
      </c>
      <c r="E57" s="38">
        <f>'[2]1 RawCompil CB September 2024'!F26</f>
        <v>127</v>
      </c>
      <c r="F57" s="38">
        <f>'[2]1 RawCompil CB September 2024'!F55</f>
        <v>608</v>
      </c>
      <c r="G57" s="38">
        <f>'[2]1 RawCompil CB September 2024'!F84</f>
        <v>0</v>
      </c>
      <c r="H57" s="38">
        <f>'[2]1 RawCompil CB September 2024'!F142</f>
        <v>0</v>
      </c>
      <c r="I57" s="38">
        <f>'[2]1 RawCompil CB September 2024'!F171</f>
        <v>79</v>
      </c>
      <c r="J57" s="38">
        <f>'[2]1 RawCompil CB September 2024'!F316</f>
        <v>130</v>
      </c>
      <c r="K57" s="38">
        <f>'[2]1 RawCompil CB September 2024'!F200</f>
        <v>0</v>
      </c>
      <c r="L57" s="38">
        <f>'[2]1 RawCompil CB September 2024'!F229</f>
        <v>0</v>
      </c>
      <c r="M57" s="38">
        <f>'[2]1 RawCompil CB September 2024'!F345</f>
        <v>0</v>
      </c>
      <c r="N57" s="38">
        <f>'[2]1 RawCompil CB September 2024'!F810</f>
        <v>38</v>
      </c>
      <c r="O57" s="38">
        <f>'[2]1 RawCompil CB September 2024'!F258</f>
        <v>302</v>
      </c>
      <c r="P57" s="38">
        <f>'[2]1 RawCompil CB September 2024'!F287</f>
        <v>228</v>
      </c>
      <c r="Q57" s="38">
        <f>'[2]1 RawCompil CB September 2024'!F113</f>
        <v>0</v>
      </c>
      <c r="R57" s="38">
        <f>'[2]1 RawCompil CB September 2024'!F374</f>
        <v>0</v>
      </c>
      <c r="S57" s="38">
        <f>'[2]1 RawCompil CB September 2024'!F432</f>
        <v>0</v>
      </c>
      <c r="T57" s="38">
        <f>'[2]1 RawCompil CB September 2024'!F403</f>
        <v>0</v>
      </c>
      <c r="U57" s="38">
        <f>'[2]1 RawCompil CB September 2024'!F461</f>
        <v>987</v>
      </c>
      <c r="V57" s="38">
        <f>'[2]1 RawCompil CB September 2024'!F520</f>
        <v>0</v>
      </c>
      <c r="W57" s="38">
        <f>'[2]1 RawCompil CB September 2024'!F549</f>
        <v>0</v>
      </c>
      <c r="X57" s="38">
        <f>'[2]1 RawCompil CB September 2024'!F491</f>
        <v>0</v>
      </c>
      <c r="Y57" s="38">
        <f>'[2]1 RawCompil CB September 2024'!F578</f>
        <v>0</v>
      </c>
      <c r="Z57" s="38">
        <f>'[2]1 RawCompil CB September 2024'!F607</f>
        <v>213</v>
      </c>
      <c r="AA57" s="38">
        <f>'[2]1 RawCompil CB September 2024'!F636</f>
        <v>9</v>
      </c>
      <c r="AB57" s="38">
        <f>'[2]1 RawCompil CB September 2024'!F665</f>
        <v>172</v>
      </c>
      <c r="AC57" s="38">
        <f>'[2]1 RawCompil CB September 2024'!F694</f>
        <v>1127</v>
      </c>
      <c r="AD57" s="38">
        <f>'[2]1 RawCompil CB September 2024'!F723</f>
        <v>0</v>
      </c>
      <c r="AE57" s="38">
        <f>'[2]1 RawCompil CB September 2024'!F839</f>
        <v>165</v>
      </c>
      <c r="AF57" s="38">
        <f>'[2]1 RawCompil CB September 2024'!F781</f>
        <v>2</v>
      </c>
      <c r="AG57" s="38">
        <f>'[2]1 RawCompil CB September 2024'!F752</f>
        <v>0</v>
      </c>
      <c r="AH57" s="38">
        <f>'[2]1 RawCompil CB September 2024'!F868</f>
        <v>0</v>
      </c>
      <c r="AI57" s="38"/>
      <c r="AJ57" s="88">
        <f t="shared" si="1"/>
        <v>4187</v>
      </c>
    </row>
    <row r="58" spans="2:37" ht="16.5" thickTop="1" thickBot="1">
      <c r="B58" s="21" t="s">
        <v>21</v>
      </c>
      <c r="C58" s="2" t="s">
        <v>129</v>
      </c>
      <c r="D58" s="23" t="s">
        <v>112</v>
      </c>
      <c r="E58" s="38">
        <f>'[2]1 RawCompil CB September 2024'!F27</f>
        <v>10</v>
      </c>
      <c r="F58" s="38">
        <f>'[2]1 RawCompil CB September 2024'!F56</f>
        <v>253</v>
      </c>
      <c r="G58" s="38">
        <f>'[2]1 RawCompil CB September 2024'!F85</f>
        <v>79</v>
      </c>
      <c r="H58" s="38">
        <f>'[2]1 RawCompil CB September 2024'!F143</f>
        <v>0</v>
      </c>
      <c r="I58" s="38">
        <f>'[2]1 RawCompil CB September 2024'!F172</f>
        <v>28</v>
      </c>
      <c r="J58" s="38">
        <f>'[2]1 RawCompil CB September 2024'!F317</f>
        <v>855</v>
      </c>
      <c r="K58" s="38">
        <f>'[2]1 RawCompil CB September 2024'!F201</f>
        <v>2</v>
      </c>
      <c r="L58" s="38">
        <f>'[2]1 RawCompil CB September 2024'!F230</f>
        <v>0</v>
      </c>
      <c r="M58" s="38">
        <f>'[2]1 RawCompil CB September 2024'!F346</f>
        <v>0</v>
      </c>
      <c r="N58" s="38">
        <f>'[2]1 RawCompil CB September 2024'!F811</f>
        <v>4496</v>
      </c>
      <c r="O58" s="38">
        <f>'[2]1 RawCompil CB September 2024'!F259</f>
        <v>0</v>
      </c>
      <c r="P58" s="38">
        <f>'[2]1 RawCompil CB September 2024'!F288</f>
        <v>856</v>
      </c>
      <c r="Q58" s="38">
        <f>'[2]1 RawCompil CB September 2024'!F114</f>
        <v>23</v>
      </c>
      <c r="R58" s="38">
        <f>'[2]1 RawCompil CB September 2024'!F375</f>
        <v>25</v>
      </c>
      <c r="S58" s="38">
        <f>'[2]1 RawCompil CB September 2024'!F433</f>
        <v>37</v>
      </c>
      <c r="T58" s="38">
        <f>'[2]1 RawCompil CB September 2024'!F404</f>
        <v>0</v>
      </c>
      <c r="U58" s="38">
        <f>'[2]1 RawCompil CB September 2024'!F462</f>
        <v>5222</v>
      </c>
      <c r="V58" s="38">
        <f>'[2]1 RawCompil CB September 2024'!F521</f>
        <v>437</v>
      </c>
      <c r="W58" s="38">
        <f>'[2]1 RawCompil CB September 2024'!F550</f>
        <v>0</v>
      </c>
      <c r="X58" s="38">
        <f>'[2]1 RawCompil CB September 2024'!F492</f>
        <v>0</v>
      </c>
      <c r="Y58" s="38">
        <f>'[2]1 RawCompil CB September 2024'!F579</f>
        <v>0</v>
      </c>
      <c r="Z58" s="38">
        <f>'[2]1 RawCompil CB September 2024'!F608</f>
        <v>306</v>
      </c>
      <c r="AA58" s="38">
        <f>'[2]1 RawCompil CB September 2024'!F637</f>
        <v>0</v>
      </c>
      <c r="AB58" s="38">
        <f>'[2]1 RawCompil CB September 2024'!F666</f>
        <v>481</v>
      </c>
      <c r="AC58" s="38">
        <f>'[2]1 RawCompil CB September 2024'!F695</f>
        <v>1733</v>
      </c>
      <c r="AD58" s="38">
        <f>'[2]1 RawCompil CB September 2024'!F724</f>
        <v>61</v>
      </c>
      <c r="AE58" s="38">
        <f>'[2]1 RawCompil CB September 2024'!F840</f>
        <v>2585</v>
      </c>
      <c r="AF58" s="38">
        <f>'[2]1 RawCompil CB September 2024'!F782</f>
        <v>13</v>
      </c>
      <c r="AG58" s="38">
        <f>'[2]1 RawCompil CB September 2024'!F753</f>
        <v>0</v>
      </c>
      <c r="AH58" s="38">
        <f>'[2]1 RawCompil CB September 2024'!F869</f>
        <v>0</v>
      </c>
      <c r="AI58" s="38"/>
      <c r="AJ58" s="88">
        <f t="shared" si="1"/>
        <v>17502</v>
      </c>
    </row>
    <row r="59" spans="2:37" ht="25.5" thickTop="1" thickBot="1">
      <c r="B59" s="21" t="s">
        <v>21</v>
      </c>
      <c r="C59" s="79" t="s">
        <v>131</v>
      </c>
      <c r="D59" s="41" t="s">
        <v>132</v>
      </c>
      <c r="E59" s="38">
        <f>'[2]1 RawCompil CB September 2024'!F28</f>
        <v>310</v>
      </c>
      <c r="F59" s="38">
        <f>'[2]1 RawCompil CB September 2024'!F57</f>
        <v>49</v>
      </c>
      <c r="G59" s="38">
        <f>'[2]1 RawCompil CB September 2024'!F86</f>
        <v>0</v>
      </c>
      <c r="H59" s="38">
        <f>'[2]1 RawCompil CB September 2024'!F144</f>
        <v>0</v>
      </c>
      <c r="I59" s="38">
        <f>'[2]1 RawCompil CB September 2024'!F173</f>
        <v>16</v>
      </c>
      <c r="J59" s="38">
        <f>'[2]1 RawCompil CB September 2024'!F318</f>
        <v>39</v>
      </c>
      <c r="K59" s="38">
        <f>'[2]1 RawCompil CB September 2024'!F202</f>
        <v>1</v>
      </c>
      <c r="L59" s="38">
        <f>'[2]1 RawCompil CB September 2024'!F231</f>
        <v>0</v>
      </c>
      <c r="M59" s="38">
        <f>'[2]1 RawCompil CB September 2024'!F347</f>
        <v>0</v>
      </c>
      <c r="N59" s="38">
        <f>'[2]1 RawCompil CB September 2024'!F812</f>
        <v>0</v>
      </c>
      <c r="O59" s="38">
        <f>'[2]1 RawCompil CB September 2024'!F260</f>
        <v>0</v>
      </c>
      <c r="P59" s="38">
        <f>'[2]1 RawCompil CB September 2024'!F289</f>
        <v>117</v>
      </c>
      <c r="Q59" s="38">
        <f>'[2]1 RawCompil CB September 2024'!F115</f>
        <v>0</v>
      </c>
      <c r="R59" s="38">
        <f>'[2]1 RawCompil CB September 2024'!F376</f>
        <v>1</v>
      </c>
      <c r="S59" s="38">
        <f>'[2]1 RawCompil CB September 2024'!F434</f>
        <v>0</v>
      </c>
      <c r="T59" s="38">
        <f>'[2]1 RawCompil CB September 2024'!F405</f>
        <v>0</v>
      </c>
      <c r="U59" s="38">
        <f>'[2]1 RawCompil CB September 2024'!F463</f>
        <v>6</v>
      </c>
      <c r="V59" s="38">
        <f>'[2]1 RawCompil CB September 2024'!F522</f>
        <v>3</v>
      </c>
      <c r="W59" s="38">
        <f>'[2]1 RawCompil CB September 2024'!F551</f>
        <v>0</v>
      </c>
      <c r="X59" s="38">
        <f>'[2]1 RawCompil CB September 2024'!F493</f>
        <v>0</v>
      </c>
      <c r="Y59" s="38">
        <f>'[2]1 RawCompil CB September 2024'!F580</f>
        <v>0</v>
      </c>
      <c r="Z59" s="38">
        <f>'[2]1 RawCompil CB September 2024'!F609</f>
        <v>0</v>
      </c>
      <c r="AA59" s="38">
        <f>'[2]1 RawCompil CB September 2024'!F638</f>
        <v>0</v>
      </c>
      <c r="AB59" s="38">
        <f>'[2]1 RawCompil CB September 2024'!F667</f>
        <v>799</v>
      </c>
      <c r="AC59" s="38">
        <f>'[2]1 RawCompil CB September 2024'!F696</f>
        <v>6</v>
      </c>
      <c r="AD59" s="38">
        <f>'[2]1 RawCompil CB September 2024'!F725</f>
        <v>1</v>
      </c>
      <c r="AE59" s="38">
        <f>'[2]1 RawCompil CB September 2024'!F841</f>
        <v>6</v>
      </c>
      <c r="AF59" s="38">
        <f>'[2]1 RawCompil CB September 2024'!F783</f>
        <v>0</v>
      </c>
      <c r="AG59" s="38">
        <f>'[2]1 RawCompil CB September 2024'!F754</f>
        <v>5</v>
      </c>
      <c r="AH59" s="38">
        <f>'[2]1 RawCompil CB September 2024'!F870</f>
        <v>0</v>
      </c>
      <c r="AI59" s="38"/>
      <c r="AJ59" s="88">
        <f t="shared" si="1"/>
        <v>1359</v>
      </c>
    </row>
    <row r="60" spans="2:37" ht="25.5" thickTop="1" thickBot="1">
      <c r="B60" s="21" t="s">
        <v>27</v>
      </c>
      <c r="C60" s="2" t="s">
        <v>28</v>
      </c>
      <c r="D60" s="23" t="s">
        <v>113</v>
      </c>
      <c r="E60" s="38">
        <f>'[2]1 RawCompil CB September 2024'!F29</f>
        <v>182</v>
      </c>
      <c r="F60" s="38">
        <f>'[2]1 RawCompil CB September 2024'!F58</f>
        <v>2</v>
      </c>
      <c r="G60" s="38">
        <f>'[2]1 RawCompil CB September 2024'!F87</f>
        <v>0</v>
      </c>
      <c r="H60" s="38">
        <f>'[2]1 RawCompil CB September 2024'!F145</f>
        <v>0</v>
      </c>
      <c r="I60" s="38">
        <f>'[2]1 RawCompil CB September 2024'!F174</f>
        <v>4</v>
      </c>
      <c r="J60" s="38">
        <f>'[2]1 RawCompil CB September 2024'!F319</f>
        <v>22</v>
      </c>
      <c r="K60" s="38">
        <f>'[2]1 RawCompil CB September 2024'!F203</f>
        <v>2</v>
      </c>
      <c r="L60" s="38">
        <f>'[2]1 RawCompil CB September 2024'!F232</f>
        <v>0</v>
      </c>
      <c r="M60" s="38">
        <f>'[2]1 RawCompil CB September 2024'!F348</f>
        <v>0</v>
      </c>
      <c r="N60" s="38">
        <f>'[2]1 RawCompil CB September 2024'!F813</f>
        <v>59</v>
      </c>
      <c r="O60" s="38">
        <f>'[2]1 RawCompil CB September 2024'!F261</f>
        <v>1</v>
      </c>
      <c r="P60" s="38">
        <f>'[2]1 RawCompil CB September 2024'!F290</f>
        <v>338</v>
      </c>
      <c r="Q60" s="38">
        <f>'[2]1 RawCompil CB September 2024'!F116</f>
        <v>10</v>
      </c>
      <c r="R60" s="38">
        <f>'[2]1 RawCompil CB September 2024'!F377</f>
        <v>0</v>
      </c>
      <c r="S60" s="38">
        <f>'[2]1 RawCompil CB September 2024'!F435</f>
        <v>0</v>
      </c>
      <c r="T60" s="38">
        <f>'[2]1 RawCompil CB September 2024'!F406</f>
        <v>0</v>
      </c>
      <c r="U60" s="38">
        <f>'[2]1 RawCompil CB September 2024'!F464</f>
        <v>76</v>
      </c>
      <c r="V60" s="38">
        <f>'[2]1 RawCompil CB September 2024'!F523</f>
        <v>0</v>
      </c>
      <c r="W60" s="38">
        <f>'[2]1 RawCompil CB September 2024'!F552</f>
        <v>1</v>
      </c>
      <c r="X60" s="38">
        <f>'[2]1 RawCompil CB September 2024'!F494</f>
        <v>0</v>
      </c>
      <c r="Y60" s="38">
        <f>'[2]1 RawCompil CB September 2024'!F581</f>
        <v>5</v>
      </c>
      <c r="Z60" s="38">
        <f>'[2]1 RawCompil CB September 2024'!F610</f>
        <v>22</v>
      </c>
      <c r="AA60" s="38">
        <f>'[2]1 RawCompil CB September 2024'!F639</f>
        <v>0</v>
      </c>
      <c r="AB60" s="38">
        <f>'[2]1 RawCompil CB September 2024'!F668</f>
        <v>0</v>
      </c>
      <c r="AC60" s="38">
        <f>'[2]1 RawCompil CB September 2024'!F697</f>
        <v>6</v>
      </c>
      <c r="AD60" s="38">
        <f>'[2]1 RawCompil CB September 2024'!F726</f>
        <v>2</v>
      </c>
      <c r="AE60" s="38">
        <f>'[2]1 RawCompil CB September 2024'!F842</f>
        <v>0</v>
      </c>
      <c r="AF60" s="38">
        <f>'[2]1 RawCompil CB September 2024'!F784</f>
        <v>67</v>
      </c>
      <c r="AG60" s="38">
        <f>'[2]1 RawCompil CB September 2024'!F755</f>
        <v>0</v>
      </c>
      <c r="AH60" s="38">
        <f>'[2]1 RawCompil CB September 2024'!F871</f>
        <v>0</v>
      </c>
      <c r="AI60" s="38"/>
      <c r="AJ60" s="88">
        <f t="shared" si="1"/>
        <v>799</v>
      </c>
      <c r="AK60" s="28"/>
    </row>
    <row r="61" spans="2:37" ht="16.5" thickTop="1" thickBot="1">
      <c r="B61" s="11"/>
      <c r="C61" s="12" t="s">
        <v>62</v>
      </c>
      <c r="D61" s="12"/>
      <c r="E61" s="43">
        <f>SUM(Table149[AT])+E62</f>
        <v>1100</v>
      </c>
      <c r="F61" s="43">
        <f>SUM(Table149[BE])+F62</f>
        <v>3947</v>
      </c>
      <c r="G61" s="43">
        <f>SUM(Table149[BG])+G62</f>
        <v>106</v>
      </c>
      <c r="H61" s="43">
        <f>SUM(Table149[CY])+H62</f>
        <v>84</v>
      </c>
      <c r="I61" s="43">
        <f>SUM(Table149[CZ])+I62</f>
        <v>5396</v>
      </c>
      <c r="J61" s="43">
        <f>SUM(Table149[DE])+J62</f>
        <v>9798</v>
      </c>
      <c r="K61" s="43">
        <f>SUM(Table149[DK])+K62</f>
        <v>6021</v>
      </c>
      <c r="L61" s="43">
        <f>SUM(Table149[EE])+L62</f>
        <v>1789</v>
      </c>
      <c r="M61" s="43">
        <f>SUM(Table149[EL])+M62</f>
        <v>4614</v>
      </c>
      <c r="N61" s="43">
        <f>SUM(Table149[ES])+N62</f>
        <v>14570</v>
      </c>
      <c r="O61" s="43">
        <f>SUM(Table149[FI])+O62</f>
        <v>2402</v>
      </c>
      <c r="P61" s="43">
        <f>SUM(Table149[FR])+P62</f>
        <v>12539</v>
      </c>
      <c r="Q61" s="43">
        <f>SUM(Table149[HR])+Q62</f>
        <v>57</v>
      </c>
      <c r="R61" s="43">
        <f>SUM(Table149[HU])+R62</f>
        <v>82</v>
      </c>
      <c r="S61" s="43">
        <f>SUM(Table149[IE])+S62</f>
        <v>148</v>
      </c>
      <c r="T61" s="43">
        <f>SUM(Table149[IS])+T62</f>
        <v>0</v>
      </c>
      <c r="U61" s="43">
        <f>SUM(Table149[IT])+U62</f>
        <v>15399</v>
      </c>
      <c r="V61" s="43">
        <f>SUM(Table149[LT])+V62</f>
        <v>741</v>
      </c>
      <c r="W61" s="43">
        <f>SUM(Table149[LU])+W62</f>
        <v>9</v>
      </c>
      <c r="X61" s="43">
        <f>SUM(Table149[LV])+X62</f>
        <v>92</v>
      </c>
      <c r="Y61" s="43">
        <f>SUM(Table149[MT])+Y62</f>
        <v>18</v>
      </c>
      <c r="Z61" s="43">
        <f>SUM(Table149[NL])+Z62</f>
        <v>2019</v>
      </c>
      <c r="AA61" s="43">
        <f>SUM(Table149[NO])+AA62</f>
        <v>192</v>
      </c>
      <c r="AB61" s="43">
        <f>SUM(Table149[PL])+AB62</f>
        <v>4053</v>
      </c>
      <c r="AC61" s="43">
        <f>SUM(Table149[PT])+AC62</f>
        <v>6950</v>
      </c>
      <c r="AD61" s="43">
        <f>SUM(Table149[RO])+AD62</f>
        <v>123</v>
      </c>
      <c r="AE61" s="43">
        <f>SUM(Table149[SE])+AE62</f>
        <v>6500</v>
      </c>
      <c r="AF61" s="43">
        <f>SUM(Table149[SI])+AF62</f>
        <v>213</v>
      </c>
      <c r="AG61" s="43">
        <f>SUM(Table149[SK])+AG62</f>
        <v>15</v>
      </c>
      <c r="AH61" s="43">
        <f>SUM(Table149[GBNIR])+AH62</f>
        <v>0</v>
      </c>
      <c r="AI61" s="43">
        <f>SUM(Table149[-])</f>
        <v>0</v>
      </c>
      <c r="AJ61" s="19">
        <f>SUM(AJ35:AJ60)+AJ62</f>
        <v>98977</v>
      </c>
      <c r="AK61" s="28"/>
    </row>
    <row r="62" spans="2:37" ht="18" customHeight="1" thickTop="1"/>
    <row r="64" spans="2:37">
      <c r="AE64" s="99">
        <v>45536</v>
      </c>
      <c r="AF64" s="99" t="s">
        <v>235</v>
      </c>
      <c r="AG64" s="98"/>
      <c r="AH64" s="100" t="s">
        <v>166</v>
      </c>
      <c r="AI64" s="100" t="s">
        <v>167</v>
      </c>
    </row>
    <row r="65" spans="25:35">
      <c r="AE65" s="101" t="e">
        <f>A_BackendPGCompil_March2025!AJ61</f>
        <v>#REF!</v>
      </c>
      <c r="AF65" s="101">
        <f>AJ61</f>
        <v>98977</v>
      </c>
      <c r="AG65" s="98"/>
      <c r="AH65" s="102" t="e">
        <f>AE65-AF65</f>
        <v>#REF!</v>
      </c>
      <c r="AI65" s="103" t="e">
        <f>AH65/AF65</f>
        <v>#REF!</v>
      </c>
    </row>
    <row r="66" spans="25:35">
      <c r="AE66" s="101" t="e">
        <f>A_BackendPGCompil_March2025!AJ30</f>
        <v>#REF!</v>
      </c>
      <c r="AF66" s="101">
        <f>AJ30</f>
        <v>2983</v>
      </c>
      <c r="AG66" s="98"/>
      <c r="AH66" s="102" t="e">
        <f>AE66-AF66</f>
        <v>#REF!</v>
      </c>
      <c r="AI66" s="103" t="e">
        <f>AH66/AF66</f>
        <v>#REF!</v>
      </c>
    </row>
    <row r="67" spans="25:35">
      <c r="Y67" s="75"/>
      <c r="AE67" s="98"/>
      <c r="AF67" s="98"/>
      <c r="AG67" s="98"/>
      <c r="AH67" s="98"/>
      <c r="AI67" s="98"/>
    </row>
    <row r="68" spans="25:35">
      <c r="AE68" s="98"/>
      <c r="AF68" s="98"/>
      <c r="AG68" s="98"/>
      <c r="AH68" s="98"/>
      <c r="AI68" s="98"/>
    </row>
    <row r="69" spans="25:35">
      <c r="AE69" s="98"/>
      <c r="AF69" s="99">
        <v>45536</v>
      </c>
      <c r="AG69" s="99">
        <v>45170</v>
      </c>
      <c r="AH69" s="100" t="s">
        <v>166</v>
      </c>
      <c r="AI69" s="100" t="s">
        <v>167</v>
      </c>
    </row>
    <row r="70" spans="25:35">
      <c r="AE70" s="98"/>
      <c r="AF70" s="101" t="e">
        <f>A_BackendPGCompil_March2025!AJ61</f>
        <v>#REF!</v>
      </c>
      <c r="AG70" s="101">
        <v>88921</v>
      </c>
      <c r="AH70" s="102" t="e">
        <f>AF70-AG70</f>
        <v>#REF!</v>
      </c>
      <c r="AI70" s="103" t="e">
        <f>AH70/AG70</f>
        <v>#REF!</v>
      </c>
    </row>
    <row r="71" spans="25:35">
      <c r="AE71" s="98"/>
      <c r="AF71" s="101" t="e">
        <f>A_BackendPGCompil_March2025!AJ30</f>
        <v>#REF!</v>
      </c>
      <c r="AG71" s="101">
        <v>2584</v>
      </c>
      <c r="AH71" s="100" t="e">
        <f>AF71-AG71</f>
        <v>#REF!</v>
      </c>
      <c r="AI71" s="103" t="e">
        <f>AH71/AG71</f>
        <v>#REF!</v>
      </c>
    </row>
  </sheetData>
  <autoFilter ref="AJ34:AJ61" xr:uid="{00000000-0009-0000-0000-000002000000}"/>
  <hyperlinks>
    <hyperlink ref="D26" r:id="rId1" display="2011/333/EU " xr:uid="{E1EF4FEB-3273-4174-8131-BE0D93C3FEF3}"/>
    <hyperlink ref="D27" r:id="rId2" display="2009/568/EC" xr:uid="{CCC34270-6047-4A77-9BDF-382EC69E6B38}"/>
    <hyperlink ref="D29" r:id="rId3" display="2017/175/EC" xr:uid="{058EC3CA-2C3C-40F4-A2F2-6EA8028B87DB}"/>
    <hyperlink ref="D57" r:id="rId4" display="2011/333/EU " xr:uid="{0AE7F580-5E15-4DC2-A5C8-1D9C75C90ACE}"/>
    <hyperlink ref="D58" r:id="rId5" display="2009/568/EC" xr:uid="{288262EE-AE4E-4265-A0E4-CBB6114983EB}"/>
    <hyperlink ref="D60" r:id="rId6" display="2017/175/EC" xr:uid="{C9DDF2E9-1A2C-4E4E-99FF-42900A35EA6C}"/>
    <hyperlink ref="D57" r:id="rId7" display="2014/256/EU" xr:uid="{86F713F3-E417-4B93-A8BD-7780FEC8F448}"/>
  </hyperlinks>
  <pageMargins left="0.7" right="0.7" top="0.75" bottom="0.75" header="0.3" footer="0.3"/>
  <pageSetup paperSize="9" orientation="portrait" r:id="rId8"/>
  <tableParts count="2">
    <tablePart r:id="rId9"/>
    <tablePart r:id="rId10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3D82D-482B-44FC-BEEC-4E47AB53C5B3}">
  <sheetPr>
    <tabColor rgb="FF31639B"/>
  </sheetPr>
  <dimension ref="B1:AN66"/>
  <sheetViews>
    <sheetView topLeftCell="B10" zoomScale="70" zoomScaleNormal="70" workbookViewId="0">
      <selection activeCell="W21" sqref="W21"/>
    </sheetView>
  </sheetViews>
  <sheetFormatPr baseColWidth="10" defaultColWidth="8.7109375" defaultRowHeight="15"/>
  <cols>
    <col min="2" max="2" width="7.28515625" customWidth="1"/>
    <col min="3" max="3" width="4.42578125" customWidth="1"/>
    <col min="4" max="4" width="17.42578125" customWidth="1"/>
    <col min="5" max="5" width="34.7109375" customWidth="1"/>
    <col min="6" max="35" width="8.7109375" customWidth="1"/>
    <col min="36" max="36" width="13.28515625" customWidth="1"/>
  </cols>
  <sheetData>
    <row r="1" spans="2:38" s="18" customFormat="1" ht="15.75" thickBot="1">
      <c r="B1" s="26"/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  <c r="S1" s="26">
        <v>17</v>
      </c>
      <c r="T1" s="26">
        <v>18</v>
      </c>
      <c r="U1" s="26">
        <v>19</v>
      </c>
      <c r="V1" s="26">
        <v>20</v>
      </c>
      <c r="W1" s="26">
        <v>21</v>
      </c>
      <c r="X1" s="26">
        <v>22</v>
      </c>
      <c r="Y1" s="26">
        <v>23</v>
      </c>
      <c r="Z1" s="26">
        <v>24</v>
      </c>
      <c r="AA1" s="26">
        <v>25</v>
      </c>
      <c r="AB1" s="26">
        <v>26</v>
      </c>
      <c r="AC1" s="26">
        <v>27</v>
      </c>
      <c r="AD1" s="26">
        <v>28</v>
      </c>
      <c r="AE1" s="26">
        <v>29</v>
      </c>
      <c r="AF1" s="26">
        <v>30</v>
      </c>
      <c r="AG1" s="26">
        <v>31</v>
      </c>
      <c r="AH1" s="26">
        <v>32</v>
      </c>
      <c r="AI1" s="26"/>
      <c r="AJ1" s="26">
        <v>33</v>
      </c>
    </row>
    <row r="2" spans="2:38" ht="16.5" thickTop="1" thickBot="1">
      <c r="D2" s="5" t="s">
        <v>34</v>
      </c>
      <c r="E2" s="6"/>
      <c r="F2" s="6"/>
      <c r="G2" s="7"/>
      <c r="H2" s="7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9"/>
    </row>
    <row r="3" spans="2:38" ht="31.5" thickTop="1" thickBot="1">
      <c r="D3" s="3" t="s">
        <v>182</v>
      </c>
      <c r="E3" s="3" t="s">
        <v>183</v>
      </c>
      <c r="F3" s="3" t="s">
        <v>114</v>
      </c>
      <c r="G3" s="20" t="s">
        <v>35</v>
      </c>
      <c r="H3" s="20" t="s">
        <v>36</v>
      </c>
      <c r="I3" s="20" t="s">
        <v>37</v>
      </c>
      <c r="J3" s="20" t="s">
        <v>39</v>
      </c>
      <c r="K3" s="20" t="s">
        <v>33</v>
      </c>
      <c r="L3" s="20" t="s">
        <v>44</v>
      </c>
      <c r="M3" s="20" t="s">
        <v>40</v>
      </c>
      <c r="N3" s="20" t="s">
        <v>41</v>
      </c>
      <c r="O3" s="20" t="s">
        <v>135</v>
      </c>
      <c r="P3" s="20" t="s">
        <v>59</v>
      </c>
      <c r="Q3" s="20" t="s">
        <v>42</v>
      </c>
      <c r="R3" s="20" t="s">
        <v>43</v>
      </c>
      <c r="S3" s="20" t="s">
        <v>137</v>
      </c>
      <c r="T3" s="20" t="s">
        <v>45</v>
      </c>
      <c r="U3" s="20" t="s">
        <v>47</v>
      </c>
      <c r="V3" s="20" t="s">
        <v>46</v>
      </c>
      <c r="W3" s="20" t="s">
        <v>48</v>
      </c>
      <c r="X3" s="20" t="s">
        <v>50</v>
      </c>
      <c r="Y3" s="20" t="s">
        <v>51</v>
      </c>
      <c r="Z3" s="20" t="s">
        <v>49</v>
      </c>
      <c r="AA3" s="20" t="s">
        <v>52</v>
      </c>
      <c r="AB3" s="20" t="s">
        <v>53</v>
      </c>
      <c r="AC3" s="20" t="s">
        <v>54</v>
      </c>
      <c r="AD3" s="20" t="s">
        <v>121</v>
      </c>
      <c r="AE3" s="20" t="s">
        <v>55</v>
      </c>
      <c r="AF3" s="20" t="s">
        <v>56</v>
      </c>
      <c r="AG3" s="20" t="s">
        <v>60</v>
      </c>
      <c r="AH3" s="20" t="s">
        <v>58</v>
      </c>
      <c r="AI3" s="20" t="s">
        <v>57</v>
      </c>
      <c r="AJ3" s="45" t="s">
        <v>169</v>
      </c>
      <c r="AK3" s="45" t="s">
        <v>138</v>
      </c>
      <c r="AL3" s="22" t="s">
        <v>61</v>
      </c>
    </row>
    <row r="4" spans="2:38" ht="20.100000000000001" customHeight="1" thickTop="1" thickBot="1">
      <c r="D4" s="21" t="s">
        <v>1</v>
      </c>
      <c r="E4" s="76" t="s">
        <v>172</v>
      </c>
      <c r="F4" s="77" t="s">
        <v>92</v>
      </c>
      <c r="G4" s="38" t="e">
        <f>'LICENCIAS Y PRODUCTOS 2025-03'!#REF!</f>
        <v>#REF!</v>
      </c>
      <c r="H4" s="38" t="e">
        <f>'LICENCIAS Y PRODUCTOS 2025-03'!#REF!</f>
        <v>#REF!</v>
      </c>
      <c r="I4" s="38" t="e">
        <f>'LICENCIAS Y PRODUCTOS 2025-03'!#REF!</f>
        <v>#REF!</v>
      </c>
      <c r="J4" s="38" t="e">
        <f>'LICENCIAS Y PRODUCTOS 2025-03'!#REF!</f>
        <v>#REF!</v>
      </c>
      <c r="K4" s="38" t="e">
        <f>'LICENCIAS Y PRODUCTOS 2025-03'!#REF!</f>
        <v>#REF!</v>
      </c>
      <c r="L4" s="38" t="e">
        <f>'LICENCIAS Y PRODUCTOS 2025-03'!#REF!</f>
        <v>#REF!</v>
      </c>
      <c r="M4" s="38" t="e">
        <f>'LICENCIAS Y PRODUCTOS 2025-03'!#REF!</f>
        <v>#REF!</v>
      </c>
      <c r="N4" s="38" t="e">
        <f>'LICENCIAS Y PRODUCTOS 2025-03'!#REF!</f>
        <v>#REF!</v>
      </c>
      <c r="O4" s="38" t="e">
        <f>'LICENCIAS Y PRODUCTOS 2025-03'!#REF!</f>
        <v>#REF!</v>
      </c>
      <c r="P4" s="38" t="e">
        <f>'LICENCIAS Y PRODUCTOS 2025-03'!#REF!</f>
        <v>#REF!</v>
      </c>
      <c r="Q4" s="38" t="e">
        <f>'LICENCIAS Y PRODUCTOS 2025-03'!#REF!</f>
        <v>#REF!</v>
      </c>
      <c r="R4" s="38" t="e">
        <f>'LICENCIAS Y PRODUCTOS 2025-03'!#REF!</f>
        <v>#REF!</v>
      </c>
      <c r="S4" s="38" t="e">
        <f>'LICENCIAS Y PRODUCTOS 2025-03'!#REF!</f>
        <v>#REF!</v>
      </c>
      <c r="T4" s="38" t="e">
        <f>'LICENCIAS Y PRODUCTOS 2025-03'!#REF!</f>
        <v>#REF!</v>
      </c>
      <c r="U4" s="38" t="e">
        <f>'LICENCIAS Y PRODUCTOS 2025-03'!#REF!</f>
        <v>#REF!</v>
      </c>
      <c r="V4" s="38" t="e">
        <f>'LICENCIAS Y PRODUCTOS 2025-03'!#REF!</f>
        <v>#REF!</v>
      </c>
      <c r="W4" s="38" t="e">
        <f>'LICENCIAS Y PRODUCTOS 2025-03'!#REF!</f>
        <v>#REF!</v>
      </c>
      <c r="X4" s="38" t="e">
        <f>'LICENCIAS Y PRODUCTOS 2025-03'!#REF!</f>
        <v>#REF!</v>
      </c>
      <c r="Y4" s="38" t="e">
        <f>'LICENCIAS Y PRODUCTOS 2025-03'!#REF!</f>
        <v>#REF!</v>
      </c>
      <c r="Z4" s="38" t="e">
        <f>'LICENCIAS Y PRODUCTOS 2025-03'!#REF!</f>
        <v>#REF!</v>
      </c>
      <c r="AA4" s="38" t="e">
        <f>'LICENCIAS Y PRODUCTOS 2025-03'!#REF!</f>
        <v>#REF!</v>
      </c>
      <c r="AB4" s="38" t="e">
        <f>'LICENCIAS Y PRODUCTOS 2025-03'!#REF!</f>
        <v>#REF!</v>
      </c>
      <c r="AC4" s="38" t="e">
        <f>'LICENCIAS Y PRODUCTOS 2025-03'!#REF!</f>
        <v>#REF!</v>
      </c>
      <c r="AD4" s="38" t="e">
        <f>'LICENCIAS Y PRODUCTOS 2025-03'!#REF!</f>
        <v>#REF!</v>
      </c>
      <c r="AE4" s="38" t="e">
        <f>'LICENCIAS Y PRODUCTOS 2025-03'!#REF!</f>
        <v>#REF!</v>
      </c>
      <c r="AF4" s="38" t="e">
        <f>'LICENCIAS Y PRODUCTOS 2025-03'!#REF!</f>
        <v>#REF!</v>
      </c>
      <c r="AG4" s="38" t="e">
        <f>'LICENCIAS Y PRODUCTOS 2025-03'!#REF!</f>
        <v>#REF!</v>
      </c>
      <c r="AH4" s="38" t="e">
        <f>'LICENCIAS Y PRODUCTOS 2025-03'!#REF!</f>
        <v>#REF!</v>
      </c>
      <c r="AI4" s="38" t="e">
        <f>'LICENCIAS Y PRODUCTOS 2025-03'!#REF!</f>
        <v>#REF!</v>
      </c>
      <c r="AJ4" s="38" t="e">
        <f>'LICENCIAS Y PRODUCTOS 2025-03'!#REF!</f>
        <v>#REF!</v>
      </c>
      <c r="AK4" s="38"/>
      <c r="AL4" s="39" t="e">
        <f t="shared" ref="AL4:AL19" si="0">SUM(G4:AK4)</f>
        <v>#REF!</v>
      </c>
    </row>
    <row r="5" spans="2:38" ht="20.100000000000001" customHeight="1" thickTop="1" thickBot="1">
      <c r="D5" s="21" t="s">
        <v>1</v>
      </c>
      <c r="E5" s="112" t="s">
        <v>228</v>
      </c>
      <c r="F5" s="113" t="s">
        <v>93</v>
      </c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5">
        <f t="shared" si="0"/>
        <v>0</v>
      </c>
    </row>
    <row r="6" spans="2:38" ht="20.100000000000001" customHeight="1" thickTop="1" thickBot="1">
      <c r="D6" s="21" t="s">
        <v>1</v>
      </c>
      <c r="E6" s="2" t="s">
        <v>229</v>
      </c>
      <c r="F6" s="108" t="s">
        <v>93</v>
      </c>
      <c r="G6" s="38" t="e">
        <f>'LICENCIAS Y PRODUCTOS 2025-03'!#REF!</f>
        <v>#REF!</v>
      </c>
      <c r="H6" s="38" t="e">
        <f>'LICENCIAS Y PRODUCTOS 2025-03'!#REF!</f>
        <v>#REF!</v>
      </c>
      <c r="I6" s="38" t="e">
        <f>'LICENCIAS Y PRODUCTOS 2025-03'!#REF!</f>
        <v>#REF!</v>
      </c>
      <c r="J6" s="38" t="e">
        <f>'LICENCIAS Y PRODUCTOS 2025-03'!#REF!</f>
        <v>#REF!</v>
      </c>
      <c r="K6" s="38" t="e">
        <f>'LICENCIAS Y PRODUCTOS 2025-03'!#REF!</f>
        <v>#REF!</v>
      </c>
      <c r="L6" s="38" t="e">
        <f>'LICENCIAS Y PRODUCTOS 2025-03'!#REF!</f>
        <v>#REF!</v>
      </c>
      <c r="M6" s="38" t="e">
        <f>'LICENCIAS Y PRODUCTOS 2025-03'!#REF!</f>
        <v>#REF!</v>
      </c>
      <c r="N6" s="38" t="e">
        <f>'LICENCIAS Y PRODUCTOS 2025-03'!#REF!</f>
        <v>#REF!</v>
      </c>
      <c r="O6" s="38" t="e">
        <f>'LICENCIAS Y PRODUCTOS 2025-03'!#REF!</f>
        <v>#REF!</v>
      </c>
      <c r="P6" s="38" t="e">
        <f>'LICENCIAS Y PRODUCTOS 2025-03'!#REF!</f>
        <v>#REF!</v>
      </c>
      <c r="Q6" s="38" t="e">
        <f>'LICENCIAS Y PRODUCTOS 2025-03'!#REF!</f>
        <v>#REF!</v>
      </c>
      <c r="R6" s="38" t="e">
        <f>'LICENCIAS Y PRODUCTOS 2025-03'!#REF!</f>
        <v>#REF!</v>
      </c>
      <c r="S6" s="38" t="e">
        <f>'LICENCIAS Y PRODUCTOS 2025-03'!#REF!</f>
        <v>#REF!</v>
      </c>
      <c r="T6" s="38" t="e">
        <f>'LICENCIAS Y PRODUCTOS 2025-03'!#REF!</f>
        <v>#REF!</v>
      </c>
      <c r="U6" s="38" t="e">
        <f>'LICENCIAS Y PRODUCTOS 2025-03'!#REF!</f>
        <v>#REF!</v>
      </c>
      <c r="V6" s="38" t="e">
        <f>'LICENCIAS Y PRODUCTOS 2025-03'!#REF!</f>
        <v>#REF!</v>
      </c>
      <c r="W6" s="38" t="e">
        <f>'LICENCIAS Y PRODUCTOS 2025-03'!#REF!</f>
        <v>#REF!</v>
      </c>
      <c r="X6" s="38" t="e">
        <f>'LICENCIAS Y PRODUCTOS 2025-03'!#REF!</f>
        <v>#REF!</v>
      </c>
      <c r="Y6" s="38" t="e">
        <f>'LICENCIAS Y PRODUCTOS 2025-03'!#REF!</f>
        <v>#REF!</v>
      </c>
      <c r="Z6" s="38" t="e">
        <f>'LICENCIAS Y PRODUCTOS 2025-03'!#REF!</f>
        <v>#REF!</v>
      </c>
      <c r="AA6" s="38" t="e">
        <f>'LICENCIAS Y PRODUCTOS 2025-03'!#REF!</f>
        <v>#REF!</v>
      </c>
      <c r="AB6" s="38" t="e">
        <f>'LICENCIAS Y PRODUCTOS 2025-03'!#REF!</f>
        <v>#REF!</v>
      </c>
      <c r="AC6" s="38" t="e">
        <f>'LICENCIAS Y PRODUCTOS 2025-03'!#REF!</f>
        <v>#REF!</v>
      </c>
      <c r="AD6" s="38" t="e">
        <f>'LICENCIAS Y PRODUCTOS 2025-03'!#REF!</f>
        <v>#REF!</v>
      </c>
      <c r="AE6" s="38" t="e">
        <f>'LICENCIAS Y PRODUCTOS 2025-03'!#REF!</f>
        <v>#REF!</v>
      </c>
      <c r="AF6" s="38" t="e">
        <f>'LICENCIAS Y PRODUCTOS 2025-03'!#REF!</f>
        <v>#REF!</v>
      </c>
      <c r="AG6" s="38" t="e">
        <f>'LICENCIAS Y PRODUCTOS 2025-03'!#REF!</f>
        <v>#REF!</v>
      </c>
      <c r="AH6" s="38" t="e">
        <f>'LICENCIAS Y PRODUCTOS 2025-03'!#REF!</f>
        <v>#REF!</v>
      </c>
      <c r="AI6" s="38" t="e">
        <f>'LICENCIAS Y PRODUCTOS 2025-03'!#REF!</f>
        <v>#REF!</v>
      </c>
      <c r="AJ6" s="38" t="e">
        <f>'LICENCIAS Y PRODUCTOS 2025-03'!#REF!</f>
        <v>#REF!</v>
      </c>
      <c r="AK6" s="38"/>
      <c r="AL6" s="39" t="e">
        <f t="shared" si="0"/>
        <v>#REF!</v>
      </c>
    </row>
    <row r="7" spans="2:38" ht="20.100000000000001" customHeight="1" thickTop="1" thickBot="1">
      <c r="D7" s="21" t="s">
        <v>1</v>
      </c>
      <c r="E7" s="107" t="s">
        <v>226</v>
      </c>
      <c r="F7" s="108" t="s">
        <v>227</v>
      </c>
      <c r="G7" s="38" t="e">
        <f>'LICENCIAS Y PRODUCTOS 2025-03'!#REF!</f>
        <v>#REF!</v>
      </c>
      <c r="H7" s="38" t="e">
        <f>'LICENCIAS Y PRODUCTOS 2025-03'!#REF!</f>
        <v>#REF!</v>
      </c>
      <c r="I7" s="38" t="e">
        <f>'LICENCIAS Y PRODUCTOS 2025-03'!#REF!</f>
        <v>#REF!</v>
      </c>
      <c r="J7" s="38" t="e">
        <f>'LICENCIAS Y PRODUCTOS 2025-03'!#REF!</f>
        <v>#REF!</v>
      </c>
      <c r="K7" s="38" t="e">
        <f>'LICENCIAS Y PRODUCTOS 2025-03'!#REF!</f>
        <v>#REF!</v>
      </c>
      <c r="L7" s="38" t="e">
        <f>'LICENCIAS Y PRODUCTOS 2025-03'!#REF!</f>
        <v>#REF!</v>
      </c>
      <c r="M7" s="38" t="e">
        <f>'LICENCIAS Y PRODUCTOS 2025-03'!#REF!</f>
        <v>#REF!</v>
      </c>
      <c r="N7" s="38" t="e">
        <f>'LICENCIAS Y PRODUCTOS 2025-03'!#REF!</f>
        <v>#REF!</v>
      </c>
      <c r="O7" s="38" t="e">
        <f>'LICENCIAS Y PRODUCTOS 2025-03'!#REF!</f>
        <v>#REF!</v>
      </c>
      <c r="P7" s="38" t="e">
        <f>'LICENCIAS Y PRODUCTOS 2025-03'!#REF!</f>
        <v>#REF!</v>
      </c>
      <c r="Q7" s="38" t="e">
        <f>'LICENCIAS Y PRODUCTOS 2025-03'!#REF!</f>
        <v>#REF!</v>
      </c>
      <c r="R7" s="38" t="e">
        <f>'LICENCIAS Y PRODUCTOS 2025-03'!#REF!</f>
        <v>#REF!</v>
      </c>
      <c r="S7" s="38" t="e">
        <f>'LICENCIAS Y PRODUCTOS 2025-03'!#REF!</f>
        <v>#REF!</v>
      </c>
      <c r="T7" s="38" t="e">
        <f>'LICENCIAS Y PRODUCTOS 2025-03'!#REF!</f>
        <v>#REF!</v>
      </c>
      <c r="U7" s="38" t="e">
        <f>'LICENCIAS Y PRODUCTOS 2025-03'!#REF!</f>
        <v>#REF!</v>
      </c>
      <c r="V7" s="38" t="e">
        <f>'LICENCIAS Y PRODUCTOS 2025-03'!#REF!</f>
        <v>#REF!</v>
      </c>
      <c r="W7" s="38" t="e">
        <f>'LICENCIAS Y PRODUCTOS 2025-03'!#REF!</f>
        <v>#REF!</v>
      </c>
      <c r="X7" s="38" t="e">
        <f>'LICENCIAS Y PRODUCTOS 2025-03'!#REF!</f>
        <v>#REF!</v>
      </c>
      <c r="Y7" s="38" t="e">
        <f>'LICENCIAS Y PRODUCTOS 2025-03'!#REF!</f>
        <v>#REF!</v>
      </c>
      <c r="Z7" s="38" t="e">
        <f>'LICENCIAS Y PRODUCTOS 2025-03'!#REF!</f>
        <v>#REF!</v>
      </c>
      <c r="AA7" s="38" t="e">
        <f>'LICENCIAS Y PRODUCTOS 2025-03'!#REF!</f>
        <v>#REF!</v>
      </c>
      <c r="AB7" s="38" t="e">
        <f>'LICENCIAS Y PRODUCTOS 2025-03'!#REF!</f>
        <v>#REF!</v>
      </c>
      <c r="AC7" s="38" t="e">
        <f>'LICENCIAS Y PRODUCTOS 2025-03'!#REF!</f>
        <v>#REF!</v>
      </c>
      <c r="AD7" s="38" t="e">
        <f>'LICENCIAS Y PRODUCTOS 2025-03'!#REF!</f>
        <v>#REF!</v>
      </c>
      <c r="AE7" s="38" t="e">
        <f>'LICENCIAS Y PRODUCTOS 2025-03'!#REF!</f>
        <v>#REF!</v>
      </c>
      <c r="AF7" s="38" t="e">
        <f>'LICENCIAS Y PRODUCTOS 2025-03'!#REF!</f>
        <v>#REF!</v>
      </c>
      <c r="AG7" s="38" t="e">
        <f>'LICENCIAS Y PRODUCTOS 2025-03'!#REF!</f>
        <v>#REF!</v>
      </c>
      <c r="AH7" s="38" t="e">
        <f>'LICENCIAS Y PRODUCTOS 2025-03'!#REF!</f>
        <v>#REF!</v>
      </c>
      <c r="AI7" s="38" t="e">
        <f>'LICENCIAS Y PRODUCTOS 2025-03'!#REF!</f>
        <v>#REF!</v>
      </c>
      <c r="AJ7" s="38" t="e">
        <f>'LICENCIAS Y PRODUCTOS 2025-03'!#REF!</f>
        <v>#REF!</v>
      </c>
      <c r="AK7" s="38"/>
      <c r="AL7" s="39" t="e">
        <f t="shared" si="0"/>
        <v>#REF!</v>
      </c>
    </row>
    <row r="8" spans="2:38" ht="20.100000000000001" customHeight="1" thickTop="1" thickBot="1">
      <c r="D8" s="21" t="s">
        <v>1</v>
      </c>
      <c r="E8" s="2" t="s">
        <v>171</v>
      </c>
      <c r="F8" s="23" t="s">
        <v>170</v>
      </c>
      <c r="G8" s="38" t="e">
        <f>'LICENCIAS Y PRODUCTOS 2025-03'!#REF!</f>
        <v>#REF!</v>
      </c>
      <c r="H8" s="38" t="e">
        <f>'LICENCIAS Y PRODUCTOS 2025-03'!#REF!</f>
        <v>#REF!</v>
      </c>
      <c r="I8" s="38" t="e">
        <f>'LICENCIAS Y PRODUCTOS 2025-03'!#REF!</f>
        <v>#REF!</v>
      </c>
      <c r="J8" s="38" t="e">
        <f>'LICENCIAS Y PRODUCTOS 2025-03'!#REF!</f>
        <v>#REF!</v>
      </c>
      <c r="K8" s="38" t="e">
        <f>'LICENCIAS Y PRODUCTOS 2025-03'!#REF!</f>
        <v>#REF!</v>
      </c>
      <c r="L8" s="38" t="e">
        <f>'LICENCIAS Y PRODUCTOS 2025-03'!#REF!</f>
        <v>#REF!</v>
      </c>
      <c r="M8" s="38" t="e">
        <f>'LICENCIAS Y PRODUCTOS 2025-03'!#REF!</f>
        <v>#REF!</v>
      </c>
      <c r="N8" s="38" t="e">
        <f>'LICENCIAS Y PRODUCTOS 2025-03'!#REF!</f>
        <v>#REF!</v>
      </c>
      <c r="O8" s="38" t="e">
        <f>'LICENCIAS Y PRODUCTOS 2025-03'!#REF!</f>
        <v>#REF!</v>
      </c>
      <c r="P8" s="38" t="e">
        <f>'LICENCIAS Y PRODUCTOS 2025-03'!#REF!</f>
        <v>#REF!</v>
      </c>
      <c r="Q8" s="38" t="e">
        <f>'LICENCIAS Y PRODUCTOS 2025-03'!#REF!</f>
        <v>#REF!</v>
      </c>
      <c r="R8" s="38" t="e">
        <f>'LICENCIAS Y PRODUCTOS 2025-03'!#REF!</f>
        <v>#REF!</v>
      </c>
      <c r="S8" s="38" t="e">
        <f>'LICENCIAS Y PRODUCTOS 2025-03'!#REF!</f>
        <v>#REF!</v>
      </c>
      <c r="T8" s="38" t="e">
        <f>'LICENCIAS Y PRODUCTOS 2025-03'!#REF!</f>
        <v>#REF!</v>
      </c>
      <c r="U8" s="38" t="e">
        <f>'LICENCIAS Y PRODUCTOS 2025-03'!#REF!</f>
        <v>#REF!</v>
      </c>
      <c r="V8" s="38" t="e">
        <f>'LICENCIAS Y PRODUCTOS 2025-03'!#REF!</f>
        <v>#REF!</v>
      </c>
      <c r="W8" s="38" t="e">
        <f>'LICENCIAS Y PRODUCTOS 2025-03'!#REF!</f>
        <v>#REF!</v>
      </c>
      <c r="X8" s="38" t="e">
        <f>'LICENCIAS Y PRODUCTOS 2025-03'!#REF!</f>
        <v>#REF!</v>
      </c>
      <c r="Y8" s="38" t="e">
        <f>'LICENCIAS Y PRODUCTOS 2025-03'!#REF!</f>
        <v>#REF!</v>
      </c>
      <c r="Z8" s="38" t="e">
        <f>'LICENCIAS Y PRODUCTOS 2025-03'!#REF!</f>
        <v>#REF!</v>
      </c>
      <c r="AA8" s="38" t="e">
        <f>'LICENCIAS Y PRODUCTOS 2025-03'!#REF!</f>
        <v>#REF!</v>
      </c>
      <c r="AB8" s="38" t="e">
        <f>'LICENCIAS Y PRODUCTOS 2025-03'!#REF!</f>
        <v>#REF!</v>
      </c>
      <c r="AC8" s="38" t="e">
        <f>'LICENCIAS Y PRODUCTOS 2025-03'!#REF!</f>
        <v>#REF!</v>
      </c>
      <c r="AD8" s="38" t="e">
        <f>'LICENCIAS Y PRODUCTOS 2025-03'!#REF!</f>
        <v>#REF!</v>
      </c>
      <c r="AE8" s="38" t="e">
        <f>'LICENCIAS Y PRODUCTOS 2025-03'!#REF!</f>
        <v>#REF!</v>
      </c>
      <c r="AF8" s="38" t="e">
        <f>'LICENCIAS Y PRODUCTOS 2025-03'!#REF!</f>
        <v>#REF!</v>
      </c>
      <c r="AG8" s="38" t="e">
        <f>'LICENCIAS Y PRODUCTOS 2025-03'!#REF!</f>
        <v>#REF!</v>
      </c>
      <c r="AH8" s="38" t="e">
        <f>'LICENCIAS Y PRODUCTOS 2025-03'!#REF!</f>
        <v>#REF!</v>
      </c>
      <c r="AI8" s="38" t="e">
        <f>'LICENCIAS Y PRODUCTOS 2025-03'!#REF!</f>
        <v>#REF!</v>
      </c>
      <c r="AJ8" s="38" t="e">
        <f>'LICENCIAS Y PRODUCTOS 2025-03'!#REF!</f>
        <v>#REF!</v>
      </c>
      <c r="AK8" s="38"/>
      <c r="AL8" s="39" t="e">
        <f t="shared" si="0"/>
        <v>#REF!</v>
      </c>
    </row>
    <row r="9" spans="2:38" ht="20.100000000000001" customHeight="1" thickTop="1" thickBot="1">
      <c r="D9" s="21" t="s">
        <v>3</v>
      </c>
      <c r="E9" s="2" t="s">
        <v>119</v>
      </c>
      <c r="F9" s="23" t="s">
        <v>94</v>
      </c>
      <c r="G9" s="38" t="e">
        <f>'LICENCIAS Y PRODUCTOS 2025-03'!#REF!</f>
        <v>#REF!</v>
      </c>
      <c r="H9" s="38" t="e">
        <f>'LICENCIAS Y PRODUCTOS 2025-03'!#REF!</f>
        <v>#REF!</v>
      </c>
      <c r="I9" s="38" t="e">
        <f>'LICENCIAS Y PRODUCTOS 2025-03'!#REF!</f>
        <v>#REF!</v>
      </c>
      <c r="J9" s="38" t="e">
        <f>'LICENCIAS Y PRODUCTOS 2025-03'!#REF!</f>
        <v>#REF!</v>
      </c>
      <c r="K9" s="38" t="e">
        <f>'LICENCIAS Y PRODUCTOS 2025-03'!#REF!</f>
        <v>#REF!</v>
      </c>
      <c r="L9" s="38" t="e">
        <f>'LICENCIAS Y PRODUCTOS 2025-03'!#REF!</f>
        <v>#REF!</v>
      </c>
      <c r="M9" s="38" t="e">
        <f>'LICENCIAS Y PRODUCTOS 2025-03'!#REF!</f>
        <v>#REF!</v>
      </c>
      <c r="N9" s="38" t="e">
        <f>'LICENCIAS Y PRODUCTOS 2025-03'!#REF!</f>
        <v>#REF!</v>
      </c>
      <c r="O9" s="38" t="e">
        <f>'LICENCIAS Y PRODUCTOS 2025-03'!#REF!</f>
        <v>#REF!</v>
      </c>
      <c r="P9" s="38" t="e">
        <f>'LICENCIAS Y PRODUCTOS 2025-03'!#REF!</f>
        <v>#REF!</v>
      </c>
      <c r="Q9" s="38" t="e">
        <f>'LICENCIAS Y PRODUCTOS 2025-03'!#REF!</f>
        <v>#REF!</v>
      </c>
      <c r="R9" s="38" t="e">
        <f>'LICENCIAS Y PRODUCTOS 2025-03'!#REF!</f>
        <v>#REF!</v>
      </c>
      <c r="S9" s="38" t="e">
        <f>'LICENCIAS Y PRODUCTOS 2025-03'!#REF!</f>
        <v>#REF!</v>
      </c>
      <c r="T9" s="38" t="e">
        <f>'LICENCIAS Y PRODUCTOS 2025-03'!#REF!</f>
        <v>#REF!</v>
      </c>
      <c r="U9" s="38" t="e">
        <f>'LICENCIAS Y PRODUCTOS 2025-03'!#REF!</f>
        <v>#REF!</v>
      </c>
      <c r="V9" s="38" t="e">
        <f>'LICENCIAS Y PRODUCTOS 2025-03'!#REF!</f>
        <v>#REF!</v>
      </c>
      <c r="W9" s="38" t="e">
        <f>'LICENCIAS Y PRODUCTOS 2025-03'!#REF!</f>
        <v>#REF!</v>
      </c>
      <c r="X9" s="38" t="e">
        <f>'LICENCIAS Y PRODUCTOS 2025-03'!#REF!</f>
        <v>#REF!</v>
      </c>
      <c r="Y9" s="38" t="e">
        <f>'LICENCIAS Y PRODUCTOS 2025-03'!#REF!</f>
        <v>#REF!</v>
      </c>
      <c r="Z9" s="38" t="e">
        <f>'LICENCIAS Y PRODUCTOS 2025-03'!#REF!</f>
        <v>#REF!</v>
      </c>
      <c r="AA9" s="38" t="e">
        <f>'LICENCIAS Y PRODUCTOS 2025-03'!#REF!</f>
        <v>#REF!</v>
      </c>
      <c r="AB9" s="38" t="e">
        <f>'LICENCIAS Y PRODUCTOS 2025-03'!#REF!</f>
        <v>#REF!</v>
      </c>
      <c r="AC9" s="38" t="e">
        <f>'LICENCIAS Y PRODUCTOS 2025-03'!#REF!</f>
        <v>#REF!</v>
      </c>
      <c r="AD9" s="38" t="e">
        <f>'LICENCIAS Y PRODUCTOS 2025-03'!#REF!</f>
        <v>#REF!</v>
      </c>
      <c r="AE9" s="38" t="e">
        <f>'LICENCIAS Y PRODUCTOS 2025-03'!#REF!</f>
        <v>#REF!</v>
      </c>
      <c r="AF9" s="38" t="e">
        <f>'LICENCIAS Y PRODUCTOS 2025-03'!#REF!</f>
        <v>#REF!</v>
      </c>
      <c r="AG9" s="38" t="e">
        <f>'LICENCIAS Y PRODUCTOS 2025-03'!#REF!</f>
        <v>#REF!</v>
      </c>
      <c r="AH9" s="38" t="e">
        <f>'LICENCIAS Y PRODUCTOS 2025-03'!#REF!</f>
        <v>#REF!</v>
      </c>
      <c r="AI9" s="38" t="e">
        <f>'LICENCIAS Y PRODUCTOS 2025-03'!#REF!</f>
        <v>#REF!</v>
      </c>
      <c r="AJ9" s="38" t="e">
        <f>'LICENCIAS Y PRODUCTOS 2025-03'!#REF!</f>
        <v>#REF!</v>
      </c>
      <c r="AK9" s="38"/>
      <c r="AL9" s="39" t="e">
        <f t="shared" si="0"/>
        <v>#REF!</v>
      </c>
    </row>
    <row r="10" spans="2:38" ht="20.100000000000001" customHeight="1" thickTop="1" thickBot="1">
      <c r="D10" s="21" t="s">
        <v>3</v>
      </c>
      <c r="E10" s="2" t="s">
        <v>125</v>
      </c>
      <c r="F10" s="23" t="s">
        <v>95</v>
      </c>
      <c r="G10" s="38" t="e">
        <f>'LICENCIAS Y PRODUCTOS 2025-03'!#REF!</f>
        <v>#REF!</v>
      </c>
      <c r="H10" s="38" t="e">
        <f>'LICENCIAS Y PRODUCTOS 2025-03'!#REF!</f>
        <v>#REF!</v>
      </c>
      <c r="I10" s="38" t="e">
        <f>'LICENCIAS Y PRODUCTOS 2025-03'!#REF!</f>
        <v>#REF!</v>
      </c>
      <c r="J10" s="38" t="e">
        <f>'LICENCIAS Y PRODUCTOS 2025-03'!#REF!</f>
        <v>#REF!</v>
      </c>
      <c r="K10" s="38" t="e">
        <f>'LICENCIAS Y PRODUCTOS 2025-03'!#REF!</f>
        <v>#REF!</v>
      </c>
      <c r="L10" s="38" t="e">
        <f>'LICENCIAS Y PRODUCTOS 2025-03'!#REF!</f>
        <v>#REF!</v>
      </c>
      <c r="M10" s="38" t="e">
        <f>'LICENCIAS Y PRODUCTOS 2025-03'!#REF!</f>
        <v>#REF!</v>
      </c>
      <c r="N10" s="38" t="e">
        <f>'LICENCIAS Y PRODUCTOS 2025-03'!#REF!</f>
        <v>#REF!</v>
      </c>
      <c r="O10" s="38" t="e">
        <f>'LICENCIAS Y PRODUCTOS 2025-03'!#REF!</f>
        <v>#REF!</v>
      </c>
      <c r="P10" s="38" t="e">
        <f>'LICENCIAS Y PRODUCTOS 2025-03'!#REF!</f>
        <v>#REF!</v>
      </c>
      <c r="Q10" s="38" t="e">
        <f>'LICENCIAS Y PRODUCTOS 2025-03'!#REF!</f>
        <v>#REF!</v>
      </c>
      <c r="R10" s="38" t="e">
        <f>'LICENCIAS Y PRODUCTOS 2025-03'!#REF!</f>
        <v>#REF!</v>
      </c>
      <c r="S10" s="38" t="e">
        <f>'LICENCIAS Y PRODUCTOS 2025-03'!#REF!</f>
        <v>#REF!</v>
      </c>
      <c r="T10" s="38" t="e">
        <f>'LICENCIAS Y PRODUCTOS 2025-03'!#REF!</f>
        <v>#REF!</v>
      </c>
      <c r="U10" s="38" t="e">
        <f>'LICENCIAS Y PRODUCTOS 2025-03'!#REF!</f>
        <v>#REF!</v>
      </c>
      <c r="V10" s="38" t="e">
        <f>'LICENCIAS Y PRODUCTOS 2025-03'!#REF!</f>
        <v>#REF!</v>
      </c>
      <c r="W10" s="38" t="e">
        <f>'LICENCIAS Y PRODUCTOS 2025-03'!#REF!</f>
        <v>#REF!</v>
      </c>
      <c r="X10" s="38" t="e">
        <f>'LICENCIAS Y PRODUCTOS 2025-03'!#REF!</f>
        <v>#REF!</v>
      </c>
      <c r="Y10" s="38" t="e">
        <f>'LICENCIAS Y PRODUCTOS 2025-03'!#REF!</f>
        <v>#REF!</v>
      </c>
      <c r="Z10" s="38" t="e">
        <f>'LICENCIAS Y PRODUCTOS 2025-03'!#REF!</f>
        <v>#REF!</v>
      </c>
      <c r="AA10" s="38" t="e">
        <f>'LICENCIAS Y PRODUCTOS 2025-03'!#REF!</f>
        <v>#REF!</v>
      </c>
      <c r="AB10" s="38" t="e">
        <f>'LICENCIAS Y PRODUCTOS 2025-03'!#REF!</f>
        <v>#REF!</v>
      </c>
      <c r="AC10" s="38" t="e">
        <f>'LICENCIAS Y PRODUCTOS 2025-03'!#REF!</f>
        <v>#REF!</v>
      </c>
      <c r="AD10" s="38" t="e">
        <f>'LICENCIAS Y PRODUCTOS 2025-03'!#REF!</f>
        <v>#REF!</v>
      </c>
      <c r="AE10" s="38" t="e">
        <f>'LICENCIAS Y PRODUCTOS 2025-03'!#REF!</f>
        <v>#REF!</v>
      </c>
      <c r="AF10" s="38" t="e">
        <f>'LICENCIAS Y PRODUCTOS 2025-03'!#REF!</f>
        <v>#REF!</v>
      </c>
      <c r="AG10" s="38" t="e">
        <f>'LICENCIAS Y PRODUCTOS 2025-03'!#REF!</f>
        <v>#REF!</v>
      </c>
      <c r="AH10" s="38" t="e">
        <f>'LICENCIAS Y PRODUCTOS 2025-03'!#REF!</f>
        <v>#REF!</v>
      </c>
      <c r="AI10" s="38" t="e">
        <f>'LICENCIAS Y PRODUCTOS 2025-03'!#REF!</f>
        <v>#REF!</v>
      </c>
      <c r="AJ10" s="38" t="e">
        <f>'LICENCIAS Y PRODUCTOS 2025-03'!#REF!</f>
        <v>#REF!</v>
      </c>
      <c r="AK10" s="38"/>
      <c r="AL10" s="39" t="e">
        <f t="shared" si="0"/>
        <v>#REF!</v>
      </c>
    </row>
    <row r="11" spans="2:38" ht="33.75" customHeight="1" thickTop="1" thickBot="1">
      <c r="D11" s="21" t="s">
        <v>3</v>
      </c>
      <c r="E11" s="2" t="s">
        <v>126</v>
      </c>
      <c r="F11" s="23" t="s">
        <v>96</v>
      </c>
      <c r="G11" s="38" t="e">
        <f>'LICENCIAS Y PRODUCTOS 2025-03'!#REF!</f>
        <v>#REF!</v>
      </c>
      <c r="H11" s="38" t="e">
        <f>'LICENCIAS Y PRODUCTOS 2025-03'!#REF!</f>
        <v>#REF!</v>
      </c>
      <c r="I11" s="38" t="e">
        <f>'LICENCIAS Y PRODUCTOS 2025-03'!#REF!</f>
        <v>#REF!</v>
      </c>
      <c r="J11" s="38" t="e">
        <f>'LICENCIAS Y PRODUCTOS 2025-03'!#REF!</f>
        <v>#REF!</v>
      </c>
      <c r="K11" s="38" t="e">
        <f>'LICENCIAS Y PRODUCTOS 2025-03'!#REF!</f>
        <v>#REF!</v>
      </c>
      <c r="L11" s="38" t="e">
        <f>'LICENCIAS Y PRODUCTOS 2025-03'!#REF!</f>
        <v>#REF!</v>
      </c>
      <c r="M11" s="38" t="e">
        <f>'LICENCIAS Y PRODUCTOS 2025-03'!#REF!</f>
        <v>#REF!</v>
      </c>
      <c r="N11" s="38" t="e">
        <f>'LICENCIAS Y PRODUCTOS 2025-03'!#REF!</f>
        <v>#REF!</v>
      </c>
      <c r="O11" s="38" t="e">
        <f>'LICENCIAS Y PRODUCTOS 2025-03'!#REF!</f>
        <v>#REF!</v>
      </c>
      <c r="P11" s="38" t="e">
        <f>'LICENCIAS Y PRODUCTOS 2025-03'!#REF!</f>
        <v>#REF!</v>
      </c>
      <c r="Q11" s="38" t="e">
        <f>'LICENCIAS Y PRODUCTOS 2025-03'!#REF!</f>
        <v>#REF!</v>
      </c>
      <c r="R11" s="38" t="e">
        <f>'LICENCIAS Y PRODUCTOS 2025-03'!#REF!</f>
        <v>#REF!</v>
      </c>
      <c r="S11" s="38" t="e">
        <f>'LICENCIAS Y PRODUCTOS 2025-03'!#REF!</f>
        <v>#REF!</v>
      </c>
      <c r="T11" s="38" t="e">
        <f>'LICENCIAS Y PRODUCTOS 2025-03'!#REF!</f>
        <v>#REF!</v>
      </c>
      <c r="U11" s="38" t="e">
        <f>'LICENCIAS Y PRODUCTOS 2025-03'!#REF!</f>
        <v>#REF!</v>
      </c>
      <c r="V11" s="38" t="e">
        <f>'LICENCIAS Y PRODUCTOS 2025-03'!#REF!</f>
        <v>#REF!</v>
      </c>
      <c r="W11" s="38" t="e">
        <f>'LICENCIAS Y PRODUCTOS 2025-03'!#REF!</f>
        <v>#REF!</v>
      </c>
      <c r="X11" s="38" t="e">
        <f>'LICENCIAS Y PRODUCTOS 2025-03'!#REF!</f>
        <v>#REF!</v>
      </c>
      <c r="Y11" s="38" t="e">
        <f>'LICENCIAS Y PRODUCTOS 2025-03'!#REF!</f>
        <v>#REF!</v>
      </c>
      <c r="Z11" s="38" t="e">
        <f>'LICENCIAS Y PRODUCTOS 2025-03'!#REF!</f>
        <v>#REF!</v>
      </c>
      <c r="AA11" s="38" t="e">
        <f>'LICENCIAS Y PRODUCTOS 2025-03'!#REF!</f>
        <v>#REF!</v>
      </c>
      <c r="AB11" s="38" t="e">
        <f>'LICENCIAS Y PRODUCTOS 2025-03'!#REF!</f>
        <v>#REF!</v>
      </c>
      <c r="AC11" s="38" t="e">
        <f>'LICENCIAS Y PRODUCTOS 2025-03'!#REF!</f>
        <v>#REF!</v>
      </c>
      <c r="AD11" s="38" t="e">
        <f>'LICENCIAS Y PRODUCTOS 2025-03'!#REF!</f>
        <v>#REF!</v>
      </c>
      <c r="AE11" s="38" t="e">
        <f>'LICENCIAS Y PRODUCTOS 2025-03'!#REF!</f>
        <v>#REF!</v>
      </c>
      <c r="AF11" s="38" t="e">
        <f>'LICENCIAS Y PRODUCTOS 2025-03'!#REF!</f>
        <v>#REF!</v>
      </c>
      <c r="AG11" s="38" t="e">
        <f>'LICENCIAS Y PRODUCTOS 2025-03'!#REF!</f>
        <v>#REF!</v>
      </c>
      <c r="AH11" s="38" t="e">
        <f>'LICENCIAS Y PRODUCTOS 2025-03'!#REF!</f>
        <v>#REF!</v>
      </c>
      <c r="AI11" s="38" t="e">
        <f>'LICENCIAS Y PRODUCTOS 2025-03'!#REF!</f>
        <v>#REF!</v>
      </c>
      <c r="AJ11" s="38" t="e">
        <f>'LICENCIAS Y PRODUCTOS 2025-03'!#REF!</f>
        <v>#REF!</v>
      </c>
      <c r="AK11" s="38"/>
      <c r="AL11" s="39" t="e">
        <f t="shared" si="0"/>
        <v>#REF!</v>
      </c>
    </row>
    <row r="12" spans="2:38" ht="20.100000000000001" customHeight="1" thickTop="1" thickBot="1">
      <c r="D12" s="21" t="s">
        <v>3</v>
      </c>
      <c r="E12" s="2" t="s">
        <v>6</v>
      </c>
      <c r="F12" s="23" t="s">
        <v>97</v>
      </c>
      <c r="G12" s="38" t="e">
        <f>'LICENCIAS Y PRODUCTOS 2025-03'!#REF!</f>
        <v>#REF!</v>
      </c>
      <c r="H12" s="38" t="e">
        <f>'LICENCIAS Y PRODUCTOS 2025-03'!#REF!</f>
        <v>#REF!</v>
      </c>
      <c r="I12" s="38" t="e">
        <f>'LICENCIAS Y PRODUCTOS 2025-03'!#REF!</f>
        <v>#REF!</v>
      </c>
      <c r="J12" s="38" t="e">
        <f>'LICENCIAS Y PRODUCTOS 2025-03'!#REF!</f>
        <v>#REF!</v>
      </c>
      <c r="K12" s="38" t="e">
        <f>'LICENCIAS Y PRODUCTOS 2025-03'!#REF!</f>
        <v>#REF!</v>
      </c>
      <c r="L12" s="38" t="e">
        <f>'LICENCIAS Y PRODUCTOS 2025-03'!#REF!</f>
        <v>#REF!</v>
      </c>
      <c r="M12" s="38" t="e">
        <f>'LICENCIAS Y PRODUCTOS 2025-03'!#REF!</f>
        <v>#REF!</v>
      </c>
      <c r="N12" s="38" t="e">
        <f>'LICENCIAS Y PRODUCTOS 2025-03'!#REF!</f>
        <v>#REF!</v>
      </c>
      <c r="O12" s="38" t="e">
        <f>'LICENCIAS Y PRODUCTOS 2025-03'!#REF!</f>
        <v>#REF!</v>
      </c>
      <c r="P12" s="38" t="e">
        <f>'LICENCIAS Y PRODUCTOS 2025-03'!#REF!</f>
        <v>#REF!</v>
      </c>
      <c r="Q12" s="38" t="e">
        <f>'LICENCIAS Y PRODUCTOS 2025-03'!#REF!</f>
        <v>#REF!</v>
      </c>
      <c r="R12" s="38" t="e">
        <f>'LICENCIAS Y PRODUCTOS 2025-03'!#REF!</f>
        <v>#REF!</v>
      </c>
      <c r="S12" s="38" t="e">
        <f>'LICENCIAS Y PRODUCTOS 2025-03'!#REF!</f>
        <v>#REF!</v>
      </c>
      <c r="T12" s="38" t="e">
        <f>'LICENCIAS Y PRODUCTOS 2025-03'!#REF!</f>
        <v>#REF!</v>
      </c>
      <c r="U12" s="38" t="e">
        <f>'LICENCIAS Y PRODUCTOS 2025-03'!#REF!</f>
        <v>#REF!</v>
      </c>
      <c r="V12" s="38" t="e">
        <f>'LICENCIAS Y PRODUCTOS 2025-03'!#REF!</f>
        <v>#REF!</v>
      </c>
      <c r="W12" s="38" t="e">
        <f>'LICENCIAS Y PRODUCTOS 2025-03'!#REF!</f>
        <v>#REF!</v>
      </c>
      <c r="X12" s="38" t="e">
        <f>'LICENCIAS Y PRODUCTOS 2025-03'!#REF!</f>
        <v>#REF!</v>
      </c>
      <c r="Y12" s="38" t="e">
        <f>'LICENCIAS Y PRODUCTOS 2025-03'!#REF!</f>
        <v>#REF!</v>
      </c>
      <c r="Z12" s="38" t="e">
        <f>'LICENCIAS Y PRODUCTOS 2025-03'!#REF!</f>
        <v>#REF!</v>
      </c>
      <c r="AA12" s="38" t="e">
        <f>'LICENCIAS Y PRODUCTOS 2025-03'!#REF!</f>
        <v>#REF!</v>
      </c>
      <c r="AB12" s="38" t="e">
        <f>'LICENCIAS Y PRODUCTOS 2025-03'!#REF!</f>
        <v>#REF!</v>
      </c>
      <c r="AC12" s="38" t="e">
        <f>'LICENCIAS Y PRODUCTOS 2025-03'!#REF!</f>
        <v>#REF!</v>
      </c>
      <c r="AD12" s="38" t="e">
        <f>'LICENCIAS Y PRODUCTOS 2025-03'!#REF!</f>
        <v>#REF!</v>
      </c>
      <c r="AE12" s="38" t="e">
        <f>'LICENCIAS Y PRODUCTOS 2025-03'!#REF!</f>
        <v>#REF!</v>
      </c>
      <c r="AF12" s="38" t="e">
        <f>'LICENCIAS Y PRODUCTOS 2025-03'!#REF!</f>
        <v>#REF!</v>
      </c>
      <c r="AG12" s="38" t="e">
        <f>'LICENCIAS Y PRODUCTOS 2025-03'!#REF!</f>
        <v>#REF!</v>
      </c>
      <c r="AH12" s="38" t="e">
        <f>'LICENCIAS Y PRODUCTOS 2025-03'!#REF!</f>
        <v>#REF!</v>
      </c>
      <c r="AI12" s="38" t="e">
        <f>'LICENCIAS Y PRODUCTOS 2025-03'!#REF!</f>
        <v>#REF!</v>
      </c>
      <c r="AJ12" s="38" t="e">
        <f>'LICENCIAS Y PRODUCTOS 2025-03'!#REF!</f>
        <v>#REF!</v>
      </c>
      <c r="AK12" s="38"/>
      <c r="AL12" s="39" t="e">
        <f t="shared" si="0"/>
        <v>#REF!</v>
      </c>
    </row>
    <row r="13" spans="2:38" ht="20.100000000000001" customHeight="1" thickTop="1" thickBot="1">
      <c r="D13" s="21" t="s">
        <v>3</v>
      </c>
      <c r="E13" s="2" t="s">
        <v>7</v>
      </c>
      <c r="F13" s="23" t="s">
        <v>98</v>
      </c>
      <c r="G13" s="38" t="e">
        <f>'LICENCIAS Y PRODUCTOS 2025-03'!#REF!</f>
        <v>#REF!</v>
      </c>
      <c r="H13" s="38" t="e">
        <f>'LICENCIAS Y PRODUCTOS 2025-03'!#REF!</f>
        <v>#REF!</v>
      </c>
      <c r="I13" s="38" t="e">
        <f>'LICENCIAS Y PRODUCTOS 2025-03'!#REF!</f>
        <v>#REF!</v>
      </c>
      <c r="J13" s="38" t="e">
        <f>'LICENCIAS Y PRODUCTOS 2025-03'!#REF!</f>
        <v>#REF!</v>
      </c>
      <c r="K13" s="38" t="e">
        <f>'LICENCIAS Y PRODUCTOS 2025-03'!#REF!</f>
        <v>#REF!</v>
      </c>
      <c r="L13" s="38" t="e">
        <f>'LICENCIAS Y PRODUCTOS 2025-03'!#REF!</f>
        <v>#REF!</v>
      </c>
      <c r="M13" s="38" t="e">
        <f>'LICENCIAS Y PRODUCTOS 2025-03'!#REF!</f>
        <v>#REF!</v>
      </c>
      <c r="N13" s="38" t="e">
        <f>'LICENCIAS Y PRODUCTOS 2025-03'!#REF!</f>
        <v>#REF!</v>
      </c>
      <c r="O13" s="38" t="e">
        <f>'LICENCIAS Y PRODUCTOS 2025-03'!#REF!</f>
        <v>#REF!</v>
      </c>
      <c r="P13" s="38" t="e">
        <f>'LICENCIAS Y PRODUCTOS 2025-03'!#REF!</f>
        <v>#REF!</v>
      </c>
      <c r="Q13" s="38" t="e">
        <f>'LICENCIAS Y PRODUCTOS 2025-03'!#REF!</f>
        <v>#REF!</v>
      </c>
      <c r="R13" s="38" t="e">
        <f>'LICENCIAS Y PRODUCTOS 2025-03'!#REF!</f>
        <v>#REF!</v>
      </c>
      <c r="S13" s="38" t="e">
        <f>'LICENCIAS Y PRODUCTOS 2025-03'!#REF!</f>
        <v>#REF!</v>
      </c>
      <c r="T13" s="38" t="e">
        <f>'LICENCIAS Y PRODUCTOS 2025-03'!#REF!</f>
        <v>#REF!</v>
      </c>
      <c r="U13" s="38" t="e">
        <f>'LICENCIAS Y PRODUCTOS 2025-03'!#REF!</f>
        <v>#REF!</v>
      </c>
      <c r="V13" s="38" t="e">
        <f>'LICENCIAS Y PRODUCTOS 2025-03'!#REF!</f>
        <v>#REF!</v>
      </c>
      <c r="W13" s="38" t="e">
        <f>'LICENCIAS Y PRODUCTOS 2025-03'!#REF!</f>
        <v>#REF!</v>
      </c>
      <c r="X13" s="38" t="e">
        <f>'LICENCIAS Y PRODUCTOS 2025-03'!#REF!</f>
        <v>#REF!</v>
      </c>
      <c r="Y13" s="38" t="e">
        <f>'LICENCIAS Y PRODUCTOS 2025-03'!#REF!</f>
        <v>#REF!</v>
      </c>
      <c r="Z13" s="38" t="e">
        <f>'LICENCIAS Y PRODUCTOS 2025-03'!#REF!</f>
        <v>#REF!</v>
      </c>
      <c r="AA13" s="38" t="e">
        <f>'LICENCIAS Y PRODUCTOS 2025-03'!#REF!</f>
        <v>#REF!</v>
      </c>
      <c r="AB13" s="38" t="e">
        <f>'LICENCIAS Y PRODUCTOS 2025-03'!#REF!</f>
        <v>#REF!</v>
      </c>
      <c r="AC13" s="38" t="e">
        <f>'LICENCIAS Y PRODUCTOS 2025-03'!#REF!</f>
        <v>#REF!</v>
      </c>
      <c r="AD13" s="38" t="e">
        <f>'LICENCIAS Y PRODUCTOS 2025-03'!#REF!</f>
        <v>#REF!</v>
      </c>
      <c r="AE13" s="38" t="e">
        <f>'LICENCIAS Y PRODUCTOS 2025-03'!#REF!</f>
        <v>#REF!</v>
      </c>
      <c r="AF13" s="38" t="e">
        <f>'LICENCIAS Y PRODUCTOS 2025-03'!#REF!</f>
        <v>#REF!</v>
      </c>
      <c r="AG13" s="38" t="e">
        <f>'LICENCIAS Y PRODUCTOS 2025-03'!#REF!</f>
        <v>#REF!</v>
      </c>
      <c r="AH13" s="38" t="e">
        <f>'LICENCIAS Y PRODUCTOS 2025-03'!#REF!</f>
        <v>#REF!</v>
      </c>
      <c r="AI13" s="38" t="e">
        <f>'LICENCIAS Y PRODUCTOS 2025-03'!#REF!</f>
        <v>#REF!</v>
      </c>
      <c r="AJ13" s="38" t="e">
        <f>'LICENCIAS Y PRODUCTOS 2025-03'!#REF!</f>
        <v>#REF!</v>
      </c>
      <c r="AK13" s="38"/>
      <c r="AL13" s="39" t="e">
        <f t="shared" si="0"/>
        <v>#REF!</v>
      </c>
    </row>
    <row r="14" spans="2:38" ht="20.100000000000001" customHeight="1" thickTop="1" thickBot="1">
      <c r="D14" s="21" t="s">
        <v>3</v>
      </c>
      <c r="E14" s="2" t="s">
        <v>8</v>
      </c>
      <c r="F14" s="23" t="s">
        <v>99</v>
      </c>
      <c r="G14" s="38" t="e">
        <f>'LICENCIAS Y PRODUCTOS 2025-03'!#REF!</f>
        <v>#REF!</v>
      </c>
      <c r="H14" s="38" t="e">
        <f>'LICENCIAS Y PRODUCTOS 2025-03'!#REF!</f>
        <v>#REF!</v>
      </c>
      <c r="I14" s="38" t="e">
        <f>'LICENCIAS Y PRODUCTOS 2025-03'!#REF!</f>
        <v>#REF!</v>
      </c>
      <c r="J14" s="38" t="e">
        <f>'LICENCIAS Y PRODUCTOS 2025-03'!#REF!</f>
        <v>#REF!</v>
      </c>
      <c r="K14" s="38" t="e">
        <f>'LICENCIAS Y PRODUCTOS 2025-03'!#REF!</f>
        <v>#REF!</v>
      </c>
      <c r="L14" s="38" t="e">
        <f>'LICENCIAS Y PRODUCTOS 2025-03'!#REF!</f>
        <v>#REF!</v>
      </c>
      <c r="M14" s="38" t="e">
        <f>'LICENCIAS Y PRODUCTOS 2025-03'!#REF!</f>
        <v>#REF!</v>
      </c>
      <c r="N14" s="38" t="e">
        <f>'LICENCIAS Y PRODUCTOS 2025-03'!#REF!</f>
        <v>#REF!</v>
      </c>
      <c r="O14" s="38" t="e">
        <f>'LICENCIAS Y PRODUCTOS 2025-03'!#REF!</f>
        <v>#REF!</v>
      </c>
      <c r="P14" s="38" t="e">
        <f>'LICENCIAS Y PRODUCTOS 2025-03'!#REF!</f>
        <v>#REF!</v>
      </c>
      <c r="Q14" s="38" t="e">
        <f>'LICENCIAS Y PRODUCTOS 2025-03'!#REF!</f>
        <v>#REF!</v>
      </c>
      <c r="R14" s="38" t="e">
        <f>'LICENCIAS Y PRODUCTOS 2025-03'!#REF!</f>
        <v>#REF!</v>
      </c>
      <c r="S14" s="38" t="e">
        <f>'LICENCIAS Y PRODUCTOS 2025-03'!#REF!</f>
        <v>#REF!</v>
      </c>
      <c r="T14" s="38" t="e">
        <f>'LICENCIAS Y PRODUCTOS 2025-03'!#REF!</f>
        <v>#REF!</v>
      </c>
      <c r="U14" s="38" t="e">
        <f>'LICENCIAS Y PRODUCTOS 2025-03'!#REF!</f>
        <v>#REF!</v>
      </c>
      <c r="V14" s="38" t="e">
        <f>'LICENCIAS Y PRODUCTOS 2025-03'!#REF!</f>
        <v>#REF!</v>
      </c>
      <c r="W14" s="38" t="e">
        <f>'LICENCIAS Y PRODUCTOS 2025-03'!#REF!</f>
        <v>#REF!</v>
      </c>
      <c r="X14" s="38" t="e">
        <f>'LICENCIAS Y PRODUCTOS 2025-03'!#REF!</f>
        <v>#REF!</v>
      </c>
      <c r="Y14" s="38" t="e">
        <f>'LICENCIAS Y PRODUCTOS 2025-03'!#REF!</f>
        <v>#REF!</v>
      </c>
      <c r="Z14" s="38" t="e">
        <f>'LICENCIAS Y PRODUCTOS 2025-03'!#REF!</f>
        <v>#REF!</v>
      </c>
      <c r="AA14" s="38" t="e">
        <f>'LICENCIAS Y PRODUCTOS 2025-03'!#REF!</f>
        <v>#REF!</v>
      </c>
      <c r="AB14" s="38" t="e">
        <f>'LICENCIAS Y PRODUCTOS 2025-03'!#REF!</f>
        <v>#REF!</v>
      </c>
      <c r="AC14" s="38" t="e">
        <f>'LICENCIAS Y PRODUCTOS 2025-03'!#REF!</f>
        <v>#REF!</v>
      </c>
      <c r="AD14" s="38" t="e">
        <f>'LICENCIAS Y PRODUCTOS 2025-03'!#REF!</f>
        <v>#REF!</v>
      </c>
      <c r="AE14" s="38" t="e">
        <f>'LICENCIAS Y PRODUCTOS 2025-03'!#REF!</f>
        <v>#REF!</v>
      </c>
      <c r="AF14" s="38" t="e">
        <f>'LICENCIAS Y PRODUCTOS 2025-03'!#REF!</f>
        <v>#REF!</v>
      </c>
      <c r="AG14" s="38" t="e">
        <f>'LICENCIAS Y PRODUCTOS 2025-03'!#REF!</f>
        <v>#REF!</v>
      </c>
      <c r="AH14" s="38" t="e">
        <f>'LICENCIAS Y PRODUCTOS 2025-03'!#REF!</f>
        <v>#REF!</v>
      </c>
      <c r="AI14" s="38" t="e">
        <f>'LICENCIAS Y PRODUCTOS 2025-03'!#REF!</f>
        <v>#REF!</v>
      </c>
      <c r="AJ14" s="38" t="e">
        <f>'LICENCIAS Y PRODUCTOS 2025-03'!#REF!</f>
        <v>#REF!</v>
      </c>
      <c r="AK14" s="38"/>
      <c r="AL14" s="39" t="e">
        <f t="shared" si="0"/>
        <v>#REF!</v>
      </c>
    </row>
    <row r="15" spans="2:38" ht="20.100000000000001" customHeight="1" thickTop="1" thickBot="1">
      <c r="D15" s="21" t="s">
        <v>3</v>
      </c>
      <c r="E15" s="2" t="s">
        <v>123</v>
      </c>
      <c r="F15" s="25" t="s">
        <v>116</v>
      </c>
      <c r="G15" s="38" t="e">
        <f>'LICENCIAS Y PRODUCTOS 2025-03'!#REF!</f>
        <v>#REF!</v>
      </c>
      <c r="H15" s="38" t="e">
        <f>'LICENCIAS Y PRODUCTOS 2025-03'!#REF!</f>
        <v>#REF!</v>
      </c>
      <c r="I15" s="38" t="e">
        <f>'LICENCIAS Y PRODUCTOS 2025-03'!#REF!</f>
        <v>#REF!</v>
      </c>
      <c r="J15" s="38" t="e">
        <f>'LICENCIAS Y PRODUCTOS 2025-03'!#REF!</f>
        <v>#REF!</v>
      </c>
      <c r="K15" s="38" t="e">
        <f>'LICENCIAS Y PRODUCTOS 2025-03'!#REF!</f>
        <v>#REF!</v>
      </c>
      <c r="L15" s="38" t="e">
        <f>'LICENCIAS Y PRODUCTOS 2025-03'!#REF!</f>
        <v>#REF!</v>
      </c>
      <c r="M15" s="38" t="e">
        <f>'LICENCIAS Y PRODUCTOS 2025-03'!#REF!</f>
        <v>#REF!</v>
      </c>
      <c r="N15" s="38" t="e">
        <f>'LICENCIAS Y PRODUCTOS 2025-03'!#REF!</f>
        <v>#REF!</v>
      </c>
      <c r="O15" s="38" t="e">
        <f>'LICENCIAS Y PRODUCTOS 2025-03'!#REF!</f>
        <v>#REF!</v>
      </c>
      <c r="P15" s="38" t="e">
        <f>'LICENCIAS Y PRODUCTOS 2025-03'!#REF!</f>
        <v>#REF!</v>
      </c>
      <c r="Q15" s="38" t="e">
        <f>'LICENCIAS Y PRODUCTOS 2025-03'!#REF!</f>
        <v>#REF!</v>
      </c>
      <c r="R15" s="38" t="e">
        <f>'LICENCIAS Y PRODUCTOS 2025-03'!#REF!</f>
        <v>#REF!</v>
      </c>
      <c r="S15" s="38" t="e">
        <f>'LICENCIAS Y PRODUCTOS 2025-03'!#REF!</f>
        <v>#REF!</v>
      </c>
      <c r="T15" s="38" t="e">
        <f>'LICENCIAS Y PRODUCTOS 2025-03'!#REF!</f>
        <v>#REF!</v>
      </c>
      <c r="U15" s="38" t="e">
        <f>'LICENCIAS Y PRODUCTOS 2025-03'!#REF!</f>
        <v>#REF!</v>
      </c>
      <c r="V15" s="38" t="e">
        <f>'LICENCIAS Y PRODUCTOS 2025-03'!#REF!</f>
        <v>#REF!</v>
      </c>
      <c r="W15" s="38" t="e">
        <f>'LICENCIAS Y PRODUCTOS 2025-03'!#REF!</f>
        <v>#REF!</v>
      </c>
      <c r="X15" s="38" t="e">
        <f>'LICENCIAS Y PRODUCTOS 2025-03'!#REF!</f>
        <v>#REF!</v>
      </c>
      <c r="Y15" s="38" t="e">
        <f>'LICENCIAS Y PRODUCTOS 2025-03'!#REF!</f>
        <v>#REF!</v>
      </c>
      <c r="Z15" s="38" t="e">
        <f>'LICENCIAS Y PRODUCTOS 2025-03'!#REF!</f>
        <v>#REF!</v>
      </c>
      <c r="AA15" s="38" t="e">
        <f>'LICENCIAS Y PRODUCTOS 2025-03'!#REF!</f>
        <v>#REF!</v>
      </c>
      <c r="AB15" s="38" t="e">
        <f>'LICENCIAS Y PRODUCTOS 2025-03'!#REF!</f>
        <v>#REF!</v>
      </c>
      <c r="AC15" s="38" t="e">
        <f>'LICENCIAS Y PRODUCTOS 2025-03'!#REF!</f>
        <v>#REF!</v>
      </c>
      <c r="AD15" s="38" t="e">
        <f>'LICENCIAS Y PRODUCTOS 2025-03'!#REF!</f>
        <v>#REF!</v>
      </c>
      <c r="AE15" s="38" t="e">
        <f>'LICENCIAS Y PRODUCTOS 2025-03'!#REF!</f>
        <v>#REF!</v>
      </c>
      <c r="AF15" s="38" t="e">
        <f>'LICENCIAS Y PRODUCTOS 2025-03'!#REF!</f>
        <v>#REF!</v>
      </c>
      <c r="AG15" s="38" t="e">
        <f>'LICENCIAS Y PRODUCTOS 2025-03'!#REF!</f>
        <v>#REF!</v>
      </c>
      <c r="AH15" s="38" t="e">
        <f>'LICENCIAS Y PRODUCTOS 2025-03'!#REF!</f>
        <v>#REF!</v>
      </c>
      <c r="AI15" s="38" t="e">
        <f>'LICENCIAS Y PRODUCTOS 2025-03'!#REF!</f>
        <v>#REF!</v>
      </c>
      <c r="AJ15" s="38" t="e">
        <f>'LICENCIAS Y PRODUCTOS 2025-03'!#REF!</f>
        <v>#REF!</v>
      </c>
      <c r="AK15" s="38"/>
      <c r="AL15" s="39" t="e">
        <f t="shared" si="0"/>
        <v>#REF!</v>
      </c>
    </row>
    <row r="16" spans="2:38" ht="20.100000000000001" customHeight="1" thickTop="1" thickBot="1">
      <c r="D16" s="21" t="s">
        <v>9</v>
      </c>
      <c r="E16" s="2" t="s">
        <v>10</v>
      </c>
      <c r="F16" s="23" t="s">
        <v>100</v>
      </c>
      <c r="G16" s="38" t="e">
        <f>'LICENCIAS Y PRODUCTOS 2025-03'!#REF!</f>
        <v>#REF!</v>
      </c>
      <c r="H16" s="38" t="e">
        <f>'LICENCIAS Y PRODUCTOS 2025-03'!#REF!</f>
        <v>#REF!</v>
      </c>
      <c r="I16" s="38" t="e">
        <f>'LICENCIAS Y PRODUCTOS 2025-03'!#REF!</f>
        <v>#REF!</v>
      </c>
      <c r="J16" s="38" t="e">
        <f>'LICENCIAS Y PRODUCTOS 2025-03'!#REF!</f>
        <v>#REF!</v>
      </c>
      <c r="K16" s="38" t="e">
        <f>'LICENCIAS Y PRODUCTOS 2025-03'!#REF!</f>
        <v>#REF!</v>
      </c>
      <c r="L16" s="38" t="e">
        <f>'LICENCIAS Y PRODUCTOS 2025-03'!#REF!</f>
        <v>#REF!</v>
      </c>
      <c r="M16" s="38" t="e">
        <f>'LICENCIAS Y PRODUCTOS 2025-03'!#REF!</f>
        <v>#REF!</v>
      </c>
      <c r="N16" s="38" t="e">
        <f>'LICENCIAS Y PRODUCTOS 2025-03'!#REF!</f>
        <v>#REF!</v>
      </c>
      <c r="O16" s="38" t="e">
        <f>'LICENCIAS Y PRODUCTOS 2025-03'!#REF!</f>
        <v>#REF!</v>
      </c>
      <c r="P16" s="38" t="e">
        <f>'LICENCIAS Y PRODUCTOS 2025-03'!#REF!</f>
        <v>#REF!</v>
      </c>
      <c r="Q16" s="38" t="e">
        <f>'LICENCIAS Y PRODUCTOS 2025-03'!#REF!</f>
        <v>#REF!</v>
      </c>
      <c r="R16" s="38" t="e">
        <f>'LICENCIAS Y PRODUCTOS 2025-03'!#REF!</f>
        <v>#REF!</v>
      </c>
      <c r="S16" s="38" t="e">
        <f>'LICENCIAS Y PRODUCTOS 2025-03'!#REF!</f>
        <v>#REF!</v>
      </c>
      <c r="T16" s="38" t="e">
        <f>'LICENCIAS Y PRODUCTOS 2025-03'!#REF!</f>
        <v>#REF!</v>
      </c>
      <c r="U16" s="38" t="e">
        <f>'LICENCIAS Y PRODUCTOS 2025-03'!#REF!</f>
        <v>#REF!</v>
      </c>
      <c r="V16" s="38" t="e">
        <f>'LICENCIAS Y PRODUCTOS 2025-03'!#REF!</f>
        <v>#REF!</v>
      </c>
      <c r="W16" s="38" t="e">
        <f>'LICENCIAS Y PRODUCTOS 2025-03'!#REF!</f>
        <v>#REF!</v>
      </c>
      <c r="X16" s="38" t="e">
        <f>'LICENCIAS Y PRODUCTOS 2025-03'!#REF!</f>
        <v>#REF!</v>
      </c>
      <c r="Y16" s="38" t="e">
        <f>'LICENCIAS Y PRODUCTOS 2025-03'!#REF!</f>
        <v>#REF!</v>
      </c>
      <c r="Z16" s="38" t="e">
        <f>'LICENCIAS Y PRODUCTOS 2025-03'!#REF!</f>
        <v>#REF!</v>
      </c>
      <c r="AA16" s="38" t="e">
        <f>'LICENCIAS Y PRODUCTOS 2025-03'!#REF!</f>
        <v>#REF!</v>
      </c>
      <c r="AB16" s="38" t="e">
        <f>'LICENCIAS Y PRODUCTOS 2025-03'!#REF!</f>
        <v>#REF!</v>
      </c>
      <c r="AC16" s="38" t="e">
        <f>'LICENCIAS Y PRODUCTOS 2025-03'!#REF!</f>
        <v>#REF!</v>
      </c>
      <c r="AD16" s="38" t="e">
        <f>'LICENCIAS Y PRODUCTOS 2025-03'!#REF!</f>
        <v>#REF!</v>
      </c>
      <c r="AE16" s="38" t="e">
        <f>'LICENCIAS Y PRODUCTOS 2025-03'!#REF!</f>
        <v>#REF!</v>
      </c>
      <c r="AF16" s="38" t="e">
        <f>'LICENCIAS Y PRODUCTOS 2025-03'!#REF!</f>
        <v>#REF!</v>
      </c>
      <c r="AG16" s="38" t="e">
        <f>'LICENCIAS Y PRODUCTOS 2025-03'!#REF!</f>
        <v>#REF!</v>
      </c>
      <c r="AH16" s="38" t="e">
        <f>'LICENCIAS Y PRODUCTOS 2025-03'!#REF!</f>
        <v>#REF!</v>
      </c>
      <c r="AI16" s="38" t="e">
        <f>'LICENCIAS Y PRODUCTOS 2025-03'!#REF!</f>
        <v>#REF!</v>
      </c>
      <c r="AJ16" s="38" t="e">
        <f>'LICENCIAS Y PRODUCTOS 2025-03'!#REF!</f>
        <v>#REF!</v>
      </c>
      <c r="AK16" s="38"/>
      <c r="AL16" s="39" t="e">
        <f t="shared" si="0"/>
        <v>#REF!</v>
      </c>
    </row>
    <row r="17" spans="4:40" ht="20.100000000000001" customHeight="1" thickTop="1" thickBot="1">
      <c r="D17" s="21" t="s">
        <v>9</v>
      </c>
      <c r="E17" s="2" t="s">
        <v>11</v>
      </c>
      <c r="F17" s="23" t="s">
        <v>101</v>
      </c>
      <c r="G17" s="38" t="e">
        <f>'LICENCIAS Y PRODUCTOS 2025-03'!#REF!</f>
        <v>#REF!</v>
      </c>
      <c r="H17" s="38" t="e">
        <f>'LICENCIAS Y PRODUCTOS 2025-03'!#REF!</f>
        <v>#REF!</v>
      </c>
      <c r="I17" s="38" t="e">
        <f>'LICENCIAS Y PRODUCTOS 2025-03'!#REF!</f>
        <v>#REF!</v>
      </c>
      <c r="J17" s="38" t="e">
        <f>'LICENCIAS Y PRODUCTOS 2025-03'!#REF!</f>
        <v>#REF!</v>
      </c>
      <c r="K17" s="38" t="e">
        <f>'LICENCIAS Y PRODUCTOS 2025-03'!#REF!</f>
        <v>#REF!</v>
      </c>
      <c r="L17" s="38" t="e">
        <f>'LICENCIAS Y PRODUCTOS 2025-03'!#REF!</f>
        <v>#REF!</v>
      </c>
      <c r="M17" s="38" t="e">
        <f>'LICENCIAS Y PRODUCTOS 2025-03'!#REF!</f>
        <v>#REF!</v>
      </c>
      <c r="N17" s="38" t="e">
        <f>'LICENCIAS Y PRODUCTOS 2025-03'!#REF!</f>
        <v>#REF!</v>
      </c>
      <c r="O17" s="38" t="e">
        <f>'LICENCIAS Y PRODUCTOS 2025-03'!#REF!</f>
        <v>#REF!</v>
      </c>
      <c r="P17" s="38" t="e">
        <f>'LICENCIAS Y PRODUCTOS 2025-03'!#REF!</f>
        <v>#REF!</v>
      </c>
      <c r="Q17" s="38" t="e">
        <f>'LICENCIAS Y PRODUCTOS 2025-03'!#REF!</f>
        <v>#REF!</v>
      </c>
      <c r="R17" s="38" t="e">
        <f>'LICENCIAS Y PRODUCTOS 2025-03'!#REF!</f>
        <v>#REF!</v>
      </c>
      <c r="S17" s="38" t="e">
        <f>'LICENCIAS Y PRODUCTOS 2025-03'!#REF!</f>
        <v>#REF!</v>
      </c>
      <c r="T17" s="38" t="e">
        <f>'LICENCIAS Y PRODUCTOS 2025-03'!#REF!</f>
        <v>#REF!</v>
      </c>
      <c r="U17" s="38" t="e">
        <f>'LICENCIAS Y PRODUCTOS 2025-03'!#REF!</f>
        <v>#REF!</v>
      </c>
      <c r="V17" s="38" t="e">
        <f>'LICENCIAS Y PRODUCTOS 2025-03'!#REF!</f>
        <v>#REF!</v>
      </c>
      <c r="W17" s="38" t="e">
        <f>'LICENCIAS Y PRODUCTOS 2025-03'!#REF!</f>
        <v>#REF!</v>
      </c>
      <c r="X17" s="38" t="e">
        <f>'LICENCIAS Y PRODUCTOS 2025-03'!#REF!</f>
        <v>#REF!</v>
      </c>
      <c r="Y17" s="38" t="e">
        <f>'LICENCIAS Y PRODUCTOS 2025-03'!#REF!</f>
        <v>#REF!</v>
      </c>
      <c r="Z17" s="38" t="e">
        <f>'LICENCIAS Y PRODUCTOS 2025-03'!#REF!</f>
        <v>#REF!</v>
      </c>
      <c r="AA17" s="38" t="e">
        <f>'LICENCIAS Y PRODUCTOS 2025-03'!#REF!</f>
        <v>#REF!</v>
      </c>
      <c r="AB17" s="38" t="e">
        <f>'LICENCIAS Y PRODUCTOS 2025-03'!#REF!</f>
        <v>#REF!</v>
      </c>
      <c r="AC17" s="38" t="e">
        <f>'LICENCIAS Y PRODUCTOS 2025-03'!#REF!</f>
        <v>#REF!</v>
      </c>
      <c r="AD17" s="38" t="e">
        <f>'LICENCIAS Y PRODUCTOS 2025-03'!#REF!</f>
        <v>#REF!</v>
      </c>
      <c r="AE17" s="38" t="e">
        <f>'LICENCIAS Y PRODUCTOS 2025-03'!#REF!</f>
        <v>#REF!</v>
      </c>
      <c r="AF17" s="38" t="e">
        <f>'LICENCIAS Y PRODUCTOS 2025-03'!#REF!</f>
        <v>#REF!</v>
      </c>
      <c r="AG17" s="38" t="e">
        <f>'LICENCIAS Y PRODUCTOS 2025-03'!#REF!</f>
        <v>#REF!</v>
      </c>
      <c r="AH17" s="38" t="e">
        <f>'LICENCIAS Y PRODUCTOS 2025-03'!#REF!</f>
        <v>#REF!</v>
      </c>
      <c r="AI17" s="38" t="e">
        <f>'LICENCIAS Y PRODUCTOS 2025-03'!#REF!</f>
        <v>#REF!</v>
      </c>
      <c r="AJ17" s="38" t="e">
        <f>'LICENCIAS Y PRODUCTOS 2025-03'!#REF!</f>
        <v>#REF!</v>
      </c>
      <c r="AK17" s="38"/>
      <c r="AL17" s="39" t="e">
        <f t="shared" si="0"/>
        <v>#REF!</v>
      </c>
    </row>
    <row r="18" spans="4:40" ht="20.100000000000001" customHeight="1" thickTop="1" thickBot="1">
      <c r="D18" s="21" t="s">
        <v>12</v>
      </c>
      <c r="E18" s="2" t="s">
        <v>13</v>
      </c>
      <c r="F18" s="23" t="s">
        <v>102</v>
      </c>
      <c r="G18" s="38" t="e">
        <f>'LICENCIAS Y PRODUCTOS 2025-03'!#REF!</f>
        <v>#REF!</v>
      </c>
      <c r="H18" s="38" t="e">
        <f>'LICENCIAS Y PRODUCTOS 2025-03'!#REF!</f>
        <v>#REF!</v>
      </c>
      <c r="I18" s="38" t="e">
        <f>'LICENCIAS Y PRODUCTOS 2025-03'!#REF!</f>
        <v>#REF!</v>
      </c>
      <c r="J18" s="38" t="e">
        <f>'LICENCIAS Y PRODUCTOS 2025-03'!#REF!</f>
        <v>#REF!</v>
      </c>
      <c r="K18" s="38" t="e">
        <f>'LICENCIAS Y PRODUCTOS 2025-03'!#REF!</f>
        <v>#REF!</v>
      </c>
      <c r="L18" s="38" t="e">
        <f>'LICENCIAS Y PRODUCTOS 2025-03'!#REF!</f>
        <v>#REF!</v>
      </c>
      <c r="M18" s="38" t="e">
        <f>'LICENCIAS Y PRODUCTOS 2025-03'!#REF!</f>
        <v>#REF!</v>
      </c>
      <c r="N18" s="38" t="e">
        <f>'LICENCIAS Y PRODUCTOS 2025-03'!#REF!</f>
        <v>#REF!</v>
      </c>
      <c r="O18" s="38" t="e">
        <f>'LICENCIAS Y PRODUCTOS 2025-03'!#REF!</f>
        <v>#REF!</v>
      </c>
      <c r="P18" s="38" t="e">
        <f>'LICENCIAS Y PRODUCTOS 2025-03'!#REF!</f>
        <v>#REF!</v>
      </c>
      <c r="Q18" s="38" t="e">
        <f>'LICENCIAS Y PRODUCTOS 2025-03'!#REF!</f>
        <v>#REF!</v>
      </c>
      <c r="R18" s="38" t="e">
        <f>'LICENCIAS Y PRODUCTOS 2025-03'!#REF!</f>
        <v>#REF!</v>
      </c>
      <c r="S18" s="38" t="e">
        <f>'LICENCIAS Y PRODUCTOS 2025-03'!#REF!</f>
        <v>#REF!</v>
      </c>
      <c r="T18" s="38" t="e">
        <f>'LICENCIAS Y PRODUCTOS 2025-03'!#REF!</f>
        <v>#REF!</v>
      </c>
      <c r="U18" s="38" t="e">
        <f>'LICENCIAS Y PRODUCTOS 2025-03'!#REF!</f>
        <v>#REF!</v>
      </c>
      <c r="V18" s="38" t="e">
        <f>'LICENCIAS Y PRODUCTOS 2025-03'!#REF!</f>
        <v>#REF!</v>
      </c>
      <c r="W18" s="38" t="e">
        <f>'LICENCIAS Y PRODUCTOS 2025-03'!#REF!</f>
        <v>#REF!</v>
      </c>
      <c r="X18" s="38" t="e">
        <f>'LICENCIAS Y PRODUCTOS 2025-03'!#REF!</f>
        <v>#REF!</v>
      </c>
      <c r="Y18" s="38" t="e">
        <f>'LICENCIAS Y PRODUCTOS 2025-03'!#REF!</f>
        <v>#REF!</v>
      </c>
      <c r="Z18" s="38" t="e">
        <f>'LICENCIAS Y PRODUCTOS 2025-03'!#REF!</f>
        <v>#REF!</v>
      </c>
      <c r="AA18" s="38" t="e">
        <f>'LICENCIAS Y PRODUCTOS 2025-03'!#REF!</f>
        <v>#REF!</v>
      </c>
      <c r="AB18" s="38" t="e">
        <f>'LICENCIAS Y PRODUCTOS 2025-03'!#REF!</f>
        <v>#REF!</v>
      </c>
      <c r="AC18" s="38" t="e">
        <f>'LICENCIAS Y PRODUCTOS 2025-03'!#REF!</f>
        <v>#REF!</v>
      </c>
      <c r="AD18" s="38" t="e">
        <f>'LICENCIAS Y PRODUCTOS 2025-03'!#REF!</f>
        <v>#REF!</v>
      </c>
      <c r="AE18" s="38" t="e">
        <f>'LICENCIAS Y PRODUCTOS 2025-03'!#REF!</f>
        <v>#REF!</v>
      </c>
      <c r="AF18" s="38" t="e">
        <f>'LICENCIAS Y PRODUCTOS 2025-03'!#REF!</f>
        <v>#REF!</v>
      </c>
      <c r="AG18" s="38" t="e">
        <f>'LICENCIAS Y PRODUCTOS 2025-03'!#REF!</f>
        <v>#REF!</v>
      </c>
      <c r="AH18" s="38" t="e">
        <f>'LICENCIAS Y PRODUCTOS 2025-03'!#REF!</f>
        <v>#REF!</v>
      </c>
      <c r="AI18" s="38" t="e">
        <f>'LICENCIAS Y PRODUCTOS 2025-03'!#REF!</f>
        <v>#REF!</v>
      </c>
      <c r="AJ18" s="38" t="e">
        <f>'LICENCIAS Y PRODUCTOS 2025-03'!#REF!</f>
        <v>#REF!</v>
      </c>
      <c r="AK18" s="38"/>
      <c r="AL18" s="39" t="e">
        <f t="shared" si="0"/>
        <v>#REF!</v>
      </c>
    </row>
    <row r="19" spans="4:40" ht="20.100000000000001" customHeight="1" thickTop="1" thickBot="1">
      <c r="D19" s="21" t="s">
        <v>30</v>
      </c>
      <c r="E19" s="40" t="s">
        <v>130</v>
      </c>
      <c r="F19" s="41" t="s">
        <v>103</v>
      </c>
      <c r="G19" s="38" t="e">
        <f>'LICENCIAS Y PRODUCTOS 2025-03'!#REF!</f>
        <v>#REF!</v>
      </c>
      <c r="H19" s="38" t="e">
        <f>'LICENCIAS Y PRODUCTOS 2025-03'!#REF!</f>
        <v>#REF!</v>
      </c>
      <c r="I19" s="38" t="e">
        <f>'LICENCIAS Y PRODUCTOS 2025-03'!#REF!</f>
        <v>#REF!</v>
      </c>
      <c r="J19" s="38" t="e">
        <f>'LICENCIAS Y PRODUCTOS 2025-03'!#REF!</f>
        <v>#REF!</v>
      </c>
      <c r="K19" s="38" t="e">
        <f>'LICENCIAS Y PRODUCTOS 2025-03'!#REF!</f>
        <v>#REF!</v>
      </c>
      <c r="L19" s="38" t="e">
        <f>'LICENCIAS Y PRODUCTOS 2025-03'!#REF!</f>
        <v>#REF!</v>
      </c>
      <c r="M19" s="38" t="e">
        <f>'LICENCIAS Y PRODUCTOS 2025-03'!#REF!</f>
        <v>#REF!</v>
      </c>
      <c r="N19" s="38" t="e">
        <f>'LICENCIAS Y PRODUCTOS 2025-03'!#REF!</f>
        <v>#REF!</v>
      </c>
      <c r="O19" s="38" t="e">
        <f>'LICENCIAS Y PRODUCTOS 2025-03'!#REF!</f>
        <v>#REF!</v>
      </c>
      <c r="P19" s="38" t="e">
        <f>'LICENCIAS Y PRODUCTOS 2025-03'!#REF!</f>
        <v>#REF!</v>
      </c>
      <c r="Q19" s="38" t="e">
        <f>'LICENCIAS Y PRODUCTOS 2025-03'!#REF!</f>
        <v>#REF!</v>
      </c>
      <c r="R19" s="38" t="e">
        <f>'LICENCIAS Y PRODUCTOS 2025-03'!#REF!</f>
        <v>#REF!</v>
      </c>
      <c r="S19" s="38" t="e">
        <f>'LICENCIAS Y PRODUCTOS 2025-03'!#REF!</f>
        <v>#REF!</v>
      </c>
      <c r="T19" s="38" t="e">
        <f>'LICENCIAS Y PRODUCTOS 2025-03'!#REF!</f>
        <v>#REF!</v>
      </c>
      <c r="U19" s="38" t="e">
        <f>'LICENCIAS Y PRODUCTOS 2025-03'!#REF!</f>
        <v>#REF!</v>
      </c>
      <c r="V19" s="38" t="e">
        <f>'LICENCIAS Y PRODUCTOS 2025-03'!#REF!</f>
        <v>#REF!</v>
      </c>
      <c r="W19" s="38" t="e">
        <f>'LICENCIAS Y PRODUCTOS 2025-03'!#REF!</f>
        <v>#REF!</v>
      </c>
      <c r="X19" s="38" t="e">
        <f>'LICENCIAS Y PRODUCTOS 2025-03'!#REF!</f>
        <v>#REF!</v>
      </c>
      <c r="Y19" s="38" t="e">
        <f>'LICENCIAS Y PRODUCTOS 2025-03'!#REF!</f>
        <v>#REF!</v>
      </c>
      <c r="Z19" s="38" t="e">
        <f>'LICENCIAS Y PRODUCTOS 2025-03'!#REF!</f>
        <v>#REF!</v>
      </c>
      <c r="AA19" s="38" t="e">
        <f>'LICENCIAS Y PRODUCTOS 2025-03'!#REF!</f>
        <v>#REF!</v>
      </c>
      <c r="AB19" s="38" t="e">
        <f>'LICENCIAS Y PRODUCTOS 2025-03'!#REF!</f>
        <v>#REF!</v>
      </c>
      <c r="AC19" s="38" t="e">
        <f>'LICENCIAS Y PRODUCTOS 2025-03'!#REF!</f>
        <v>#REF!</v>
      </c>
      <c r="AD19" s="38" t="e">
        <f>'LICENCIAS Y PRODUCTOS 2025-03'!#REF!</f>
        <v>#REF!</v>
      </c>
      <c r="AE19" s="38" t="e">
        <f>'LICENCIAS Y PRODUCTOS 2025-03'!#REF!</f>
        <v>#REF!</v>
      </c>
      <c r="AF19" s="38" t="e">
        <f>'LICENCIAS Y PRODUCTOS 2025-03'!#REF!</f>
        <v>#REF!</v>
      </c>
      <c r="AG19" s="38" t="e">
        <f>'LICENCIAS Y PRODUCTOS 2025-03'!#REF!</f>
        <v>#REF!</v>
      </c>
      <c r="AH19" s="38" t="e">
        <f>'LICENCIAS Y PRODUCTOS 2025-03'!#REF!</f>
        <v>#REF!</v>
      </c>
      <c r="AI19" s="38" t="e">
        <f>'LICENCIAS Y PRODUCTOS 2025-03'!#REF!</f>
        <v>#REF!</v>
      </c>
      <c r="AJ19" s="38" t="e">
        <f>'LICENCIAS Y PRODUCTOS 2025-03'!#REF!</f>
        <v>#REF!</v>
      </c>
      <c r="AK19" s="38"/>
      <c r="AL19" s="39" t="e">
        <f t="shared" si="0"/>
        <v>#REF!</v>
      </c>
    </row>
    <row r="20" spans="4:40" ht="27.75" customHeight="1" thickTop="1" thickBot="1">
      <c r="D20" s="21" t="s">
        <v>29</v>
      </c>
      <c r="E20" s="2" t="s">
        <v>24</v>
      </c>
      <c r="F20" s="2">
        <v>35</v>
      </c>
      <c r="G20" s="38" t="e">
        <f>'LICENCIAS Y PRODUCTOS 2025-03'!#REF!</f>
        <v>#REF!</v>
      </c>
      <c r="H20" s="38" t="e">
        <f>'LICENCIAS Y PRODUCTOS 2025-03'!#REF!</f>
        <v>#REF!</v>
      </c>
      <c r="I20" s="38" t="e">
        <f>'LICENCIAS Y PRODUCTOS 2025-03'!#REF!</f>
        <v>#REF!</v>
      </c>
      <c r="J20" s="38" t="e">
        <f>'LICENCIAS Y PRODUCTOS 2025-03'!#REF!</f>
        <v>#REF!</v>
      </c>
      <c r="K20" s="38" t="e">
        <f>'LICENCIAS Y PRODUCTOS 2025-03'!#REF!</f>
        <v>#REF!</v>
      </c>
      <c r="L20" s="38" t="e">
        <f>'LICENCIAS Y PRODUCTOS 2025-03'!#REF!</f>
        <v>#REF!</v>
      </c>
      <c r="M20" s="38" t="e">
        <f>'LICENCIAS Y PRODUCTOS 2025-03'!#REF!</f>
        <v>#REF!</v>
      </c>
      <c r="N20" s="38" t="e">
        <f>'LICENCIAS Y PRODUCTOS 2025-03'!#REF!</f>
        <v>#REF!</v>
      </c>
      <c r="O20" s="38" t="e">
        <f>'LICENCIAS Y PRODUCTOS 2025-03'!#REF!</f>
        <v>#REF!</v>
      </c>
      <c r="P20" s="38" t="e">
        <f>'LICENCIAS Y PRODUCTOS 2025-03'!#REF!</f>
        <v>#REF!</v>
      </c>
      <c r="Q20" s="38" t="e">
        <f>'LICENCIAS Y PRODUCTOS 2025-03'!#REF!</f>
        <v>#REF!</v>
      </c>
      <c r="R20" s="38" t="e">
        <f>'LICENCIAS Y PRODUCTOS 2025-03'!#REF!</f>
        <v>#REF!</v>
      </c>
      <c r="S20" s="38" t="e">
        <f>'LICENCIAS Y PRODUCTOS 2025-03'!#REF!</f>
        <v>#REF!</v>
      </c>
      <c r="T20" s="38" t="e">
        <f>'LICENCIAS Y PRODUCTOS 2025-03'!#REF!</f>
        <v>#REF!</v>
      </c>
      <c r="U20" s="38" t="e">
        <f>'LICENCIAS Y PRODUCTOS 2025-03'!#REF!</f>
        <v>#REF!</v>
      </c>
      <c r="V20" s="38" t="e">
        <f>'LICENCIAS Y PRODUCTOS 2025-03'!#REF!</f>
        <v>#REF!</v>
      </c>
      <c r="W20" s="38" t="e">
        <f>'LICENCIAS Y PRODUCTOS 2025-03'!#REF!</f>
        <v>#REF!</v>
      </c>
      <c r="X20" s="38" t="e">
        <f>'LICENCIAS Y PRODUCTOS 2025-03'!#REF!</f>
        <v>#REF!</v>
      </c>
      <c r="Y20" s="38" t="e">
        <f>'LICENCIAS Y PRODUCTOS 2025-03'!#REF!</f>
        <v>#REF!</v>
      </c>
      <c r="Z20" s="38" t="e">
        <f>'LICENCIAS Y PRODUCTOS 2025-03'!#REF!</f>
        <v>#REF!</v>
      </c>
      <c r="AA20" s="38" t="e">
        <f>'LICENCIAS Y PRODUCTOS 2025-03'!#REF!</f>
        <v>#REF!</v>
      </c>
      <c r="AB20" s="38" t="e">
        <f>'LICENCIAS Y PRODUCTOS 2025-03'!#REF!</f>
        <v>#REF!</v>
      </c>
      <c r="AC20" s="38" t="e">
        <f>'LICENCIAS Y PRODUCTOS 2025-03'!#REF!</f>
        <v>#REF!</v>
      </c>
      <c r="AD20" s="38" t="e">
        <f>'LICENCIAS Y PRODUCTOS 2025-03'!#REF!</f>
        <v>#REF!</v>
      </c>
      <c r="AE20" s="38" t="e">
        <f>'LICENCIAS Y PRODUCTOS 2025-03'!#REF!</f>
        <v>#REF!</v>
      </c>
      <c r="AF20" s="38" t="e">
        <f>'LICENCIAS Y PRODUCTOS 2025-03'!#REF!</f>
        <v>#REF!</v>
      </c>
      <c r="AG20" s="38" t="e">
        <f>'LICENCIAS Y PRODUCTOS 2025-03'!#REF!</f>
        <v>#REF!</v>
      </c>
      <c r="AH20" s="38" t="e">
        <f>'LICENCIAS Y PRODUCTOS 2025-03'!#REF!</f>
        <v>#REF!</v>
      </c>
      <c r="AI20" s="38" t="e">
        <f>'LICENCIAS Y PRODUCTOS 2025-03'!#REF!</f>
        <v>#REF!</v>
      </c>
      <c r="AJ20" s="38" t="e">
        <f>'LICENCIAS Y PRODUCTOS 2025-03'!#REF!</f>
        <v>#REF!</v>
      </c>
      <c r="AK20" s="38"/>
      <c r="AL20" s="39" t="e">
        <f t="shared" ref="AL20:AL29" si="1">SUM(G20:AK20)</f>
        <v>#REF!</v>
      </c>
    </row>
    <row r="21" spans="4:40" ht="20.100000000000001" customHeight="1" thickTop="1" thickBot="1">
      <c r="D21" s="21" t="s">
        <v>29</v>
      </c>
      <c r="E21" s="2" t="s">
        <v>173</v>
      </c>
      <c r="F21" s="77" t="s">
        <v>104</v>
      </c>
      <c r="G21" s="38" t="e">
        <f>'LICENCIAS Y PRODUCTOS 2025-03'!#REF!</f>
        <v>#REF!</v>
      </c>
      <c r="H21" s="38" t="e">
        <f>'LICENCIAS Y PRODUCTOS 2025-03'!#REF!</f>
        <v>#REF!</v>
      </c>
      <c r="I21" s="38" t="e">
        <f>'LICENCIAS Y PRODUCTOS 2025-03'!#REF!</f>
        <v>#REF!</v>
      </c>
      <c r="J21" s="38" t="e">
        <f>'LICENCIAS Y PRODUCTOS 2025-03'!#REF!</f>
        <v>#REF!</v>
      </c>
      <c r="K21" s="38" t="e">
        <f>'LICENCIAS Y PRODUCTOS 2025-03'!#REF!</f>
        <v>#REF!</v>
      </c>
      <c r="L21" s="38" t="e">
        <f>'LICENCIAS Y PRODUCTOS 2025-03'!#REF!</f>
        <v>#REF!</v>
      </c>
      <c r="M21" s="38" t="e">
        <f>'LICENCIAS Y PRODUCTOS 2025-03'!#REF!</f>
        <v>#REF!</v>
      </c>
      <c r="N21" s="38" t="e">
        <f>'LICENCIAS Y PRODUCTOS 2025-03'!#REF!</f>
        <v>#REF!</v>
      </c>
      <c r="O21" s="38" t="e">
        <f>'LICENCIAS Y PRODUCTOS 2025-03'!#REF!</f>
        <v>#REF!</v>
      </c>
      <c r="P21" s="38" t="e">
        <f>'LICENCIAS Y PRODUCTOS 2025-03'!#REF!</f>
        <v>#REF!</v>
      </c>
      <c r="Q21" s="38" t="e">
        <f>'LICENCIAS Y PRODUCTOS 2025-03'!#REF!</f>
        <v>#REF!</v>
      </c>
      <c r="R21" s="38" t="e">
        <f>'LICENCIAS Y PRODUCTOS 2025-03'!#REF!</f>
        <v>#REF!</v>
      </c>
      <c r="S21" s="38" t="e">
        <f>'LICENCIAS Y PRODUCTOS 2025-03'!#REF!</f>
        <v>#REF!</v>
      </c>
      <c r="T21" s="38" t="e">
        <f>'LICENCIAS Y PRODUCTOS 2025-03'!#REF!</f>
        <v>#REF!</v>
      </c>
      <c r="U21" s="38" t="e">
        <f>'LICENCIAS Y PRODUCTOS 2025-03'!#REF!</f>
        <v>#REF!</v>
      </c>
      <c r="V21" s="38" t="e">
        <f>'LICENCIAS Y PRODUCTOS 2025-03'!#REF!</f>
        <v>#REF!</v>
      </c>
      <c r="W21" s="38" t="e">
        <f>'LICENCIAS Y PRODUCTOS 2025-03'!#REF!</f>
        <v>#REF!</v>
      </c>
      <c r="X21" s="38" t="e">
        <f>'LICENCIAS Y PRODUCTOS 2025-03'!#REF!</f>
        <v>#REF!</v>
      </c>
      <c r="Y21" s="38" t="e">
        <f>'LICENCIAS Y PRODUCTOS 2025-03'!#REF!</f>
        <v>#REF!</v>
      </c>
      <c r="Z21" s="38" t="e">
        <f>'LICENCIAS Y PRODUCTOS 2025-03'!#REF!</f>
        <v>#REF!</v>
      </c>
      <c r="AA21" s="38" t="e">
        <f>'LICENCIAS Y PRODUCTOS 2025-03'!#REF!</f>
        <v>#REF!</v>
      </c>
      <c r="AB21" s="38" t="e">
        <f>'LICENCIAS Y PRODUCTOS 2025-03'!#REF!</f>
        <v>#REF!</v>
      </c>
      <c r="AC21" s="38" t="e">
        <f>'LICENCIAS Y PRODUCTOS 2025-03'!#REF!</f>
        <v>#REF!</v>
      </c>
      <c r="AD21" s="38" t="e">
        <f>'LICENCIAS Y PRODUCTOS 2025-03'!#REF!</f>
        <v>#REF!</v>
      </c>
      <c r="AE21" s="38" t="e">
        <f>'LICENCIAS Y PRODUCTOS 2025-03'!#REF!</f>
        <v>#REF!</v>
      </c>
      <c r="AF21" s="38" t="e">
        <f>'LICENCIAS Y PRODUCTOS 2025-03'!#REF!</f>
        <v>#REF!</v>
      </c>
      <c r="AG21" s="38" t="e">
        <f>'LICENCIAS Y PRODUCTOS 2025-03'!#REF!</f>
        <v>#REF!</v>
      </c>
      <c r="AH21" s="38" t="e">
        <f>'LICENCIAS Y PRODUCTOS 2025-03'!#REF!</f>
        <v>#REF!</v>
      </c>
      <c r="AI21" s="38" t="e">
        <f>'LICENCIAS Y PRODUCTOS 2025-03'!#REF!</f>
        <v>#REF!</v>
      </c>
      <c r="AJ21" s="38" t="e">
        <f>'LICENCIAS Y PRODUCTOS 2025-03'!#REF!</f>
        <v>#REF!</v>
      </c>
      <c r="AK21" s="38"/>
      <c r="AL21" s="39" t="e">
        <f t="shared" si="1"/>
        <v>#REF!</v>
      </c>
    </row>
    <row r="22" spans="4:40" ht="20.100000000000001" customHeight="1" thickTop="1" thickBot="1">
      <c r="D22" s="21" t="s">
        <v>16</v>
      </c>
      <c r="E22" s="2" t="s">
        <v>26</v>
      </c>
      <c r="F22" s="23" t="s">
        <v>105</v>
      </c>
      <c r="G22" s="38" t="e">
        <f>'LICENCIAS Y PRODUCTOS 2025-03'!#REF!</f>
        <v>#REF!</v>
      </c>
      <c r="H22" s="38" t="e">
        <f>'LICENCIAS Y PRODUCTOS 2025-03'!#REF!</f>
        <v>#REF!</v>
      </c>
      <c r="I22" s="38" t="e">
        <f>'LICENCIAS Y PRODUCTOS 2025-03'!#REF!</f>
        <v>#REF!</v>
      </c>
      <c r="J22" s="38" t="e">
        <f>'LICENCIAS Y PRODUCTOS 2025-03'!#REF!</f>
        <v>#REF!</v>
      </c>
      <c r="K22" s="38" t="e">
        <f>'LICENCIAS Y PRODUCTOS 2025-03'!#REF!</f>
        <v>#REF!</v>
      </c>
      <c r="L22" s="38" t="e">
        <f>'LICENCIAS Y PRODUCTOS 2025-03'!#REF!</f>
        <v>#REF!</v>
      </c>
      <c r="M22" s="38" t="e">
        <f>'LICENCIAS Y PRODUCTOS 2025-03'!#REF!</f>
        <v>#REF!</v>
      </c>
      <c r="N22" s="38" t="e">
        <f>'LICENCIAS Y PRODUCTOS 2025-03'!#REF!</f>
        <v>#REF!</v>
      </c>
      <c r="O22" s="38" t="e">
        <f>'LICENCIAS Y PRODUCTOS 2025-03'!#REF!</f>
        <v>#REF!</v>
      </c>
      <c r="P22" s="38" t="e">
        <f>'LICENCIAS Y PRODUCTOS 2025-03'!#REF!</f>
        <v>#REF!</v>
      </c>
      <c r="Q22" s="38" t="e">
        <f>'LICENCIAS Y PRODUCTOS 2025-03'!#REF!</f>
        <v>#REF!</v>
      </c>
      <c r="R22" s="38" t="e">
        <f>'LICENCIAS Y PRODUCTOS 2025-03'!#REF!</f>
        <v>#REF!</v>
      </c>
      <c r="S22" s="38" t="e">
        <f>'LICENCIAS Y PRODUCTOS 2025-03'!#REF!</f>
        <v>#REF!</v>
      </c>
      <c r="T22" s="38" t="e">
        <f>'LICENCIAS Y PRODUCTOS 2025-03'!#REF!</f>
        <v>#REF!</v>
      </c>
      <c r="U22" s="38" t="e">
        <f>'LICENCIAS Y PRODUCTOS 2025-03'!#REF!</f>
        <v>#REF!</v>
      </c>
      <c r="V22" s="38" t="e">
        <f>'LICENCIAS Y PRODUCTOS 2025-03'!#REF!</f>
        <v>#REF!</v>
      </c>
      <c r="W22" s="38" t="e">
        <f>'LICENCIAS Y PRODUCTOS 2025-03'!#REF!</f>
        <v>#REF!</v>
      </c>
      <c r="X22" s="38" t="e">
        <f>'LICENCIAS Y PRODUCTOS 2025-03'!#REF!</f>
        <v>#REF!</v>
      </c>
      <c r="Y22" s="38" t="e">
        <f>'LICENCIAS Y PRODUCTOS 2025-03'!#REF!</f>
        <v>#REF!</v>
      </c>
      <c r="Z22" s="38" t="e">
        <f>'LICENCIAS Y PRODUCTOS 2025-03'!#REF!</f>
        <v>#REF!</v>
      </c>
      <c r="AA22" s="38" t="e">
        <f>'LICENCIAS Y PRODUCTOS 2025-03'!#REF!</f>
        <v>#REF!</v>
      </c>
      <c r="AB22" s="38" t="e">
        <f>'LICENCIAS Y PRODUCTOS 2025-03'!#REF!</f>
        <v>#REF!</v>
      </c>
      <c r="AC22" s="38" t="e">
        <f>'LICENCIAS Y PRODUCTOS 2025-03'!#REF!</f>
        <v>#REF!</v>
      </c>
      <c r="AD22" s="38" t="e">
        <f>'LICENCIAS Y PRODUCTOS 2025-03'!#REF!</f>
        <v>#REF!</v>
      </c>
      <c r="AE22" s="38" t="e">
        <f>'LICENCIAS Y PRODUCTOS 2025-03'!#REF!</f>
        <v>#REF!</v>
      </c>
      <c r="AF22" s="38" t="e">
        <f>'LICENCIAS Y PRODUCTOS 2025-03'!#REF!</f>
        <v>#REF!</v>
      </c>
      <c r="AG22" s="38" t="e">
        <f>'LICENCIAS Y PRODUCTOS 2025-03'!#REF!</f>
        <v>#REF!</v>
      </c>
      <c r="AH22" s="38" t="e">
        <f>'LICENCIAS Y PRODUCTOS 2025-03'!#REF!</f>
        <v>#REF!</v>
      </c>
      <c r="AI22" s="38" t="e">
        <f>'LICENCIAS Y PRODUCTOS 2025-03'!#REF!</f>
        <v>#REF!</v>
      </c>
      <c r="AJ22" s="38" t="e">
        <f>'LICENCIAS Y PRODUCTOS 2025-03'!#REF!</f>
        <v>#REF!</v>
      </c>
      <c r="AK22" s="38"/>
      <c r="AL22" s="39" t="e">
        <f t="shared" si="1"/>
        <v>#REF!</v>
      </c>
    </row>
    <row r="23" spans="4:40" ht="20.100000000000001" customHeight="1" thickTop="1" thickBot="1">
      <c r="D23" s="21" t="s">
        <v>16</v>
      </c>
      <c r="E23" s="2" t="s">
        <v>25</v>
      </c>
      <c r="F23" s="23" t="s">
        <v>106</v>
      </c>
      <c r="G23" s="38" t="e">
        <f>'LICENCIAS Y PRODUCTOS 2025-03'!#REF!</f>
        <v>#REF!</v>
      </c>
      <c r="H23" s="38" t="e">
        <f>'LICENCIAS Y PRODUCTOS 2025-03'!#REF!</f>
        <v>#REF!</v>
      </c>
      <c r="I23" s="38" t="e">
        <f>'LICENCIAS Y PRODUCTOS 2025-03'!#REF!</f>
        <v>#REF!</v>
      </c>
      <c r="J23" s="38" t="e">
        <f>'LICENCIAS Y PRODUCTOS 2025-03'!#REF!</f>
        <v>#REF!</v>
      </c>
      <c r="K23" s="38" t="e">
        <f>'LICENCIAS Y PRODUCTOS 2025-03'!#REF!</f>
        <v>#REF!</v>
      </c>
      <c r="L23" s="38" t="e">
        <f>'LICENCIAS Y PRODUCTOS 2025-03'!#REF!</f>
        <v>#REF!</v>
      </c>
      <c r="M23" s="38" t="e">
        <f>'LICENCIAS Y PRODUCTOS 2025-03'!#REF!</f>
        <v>#REF!</v>
      </c>
      <c r="N23" s="38" t="e">
        <f>'LICENCIAS Y PRODUCTOS 2025-03'!#REF!</f>
        <v>#REF!</v>
      </c>
      <c r="O23" s="38" t="e">
        <f>'LICENCIAS Y PRODUCTOS 2025-03'!#REF!</f>
        <v>#REF!</v>
      </c>
      <c r="P23" s="38" t="e">
        <f>'LICENCIAS Y PRODUCTOS 2025-03'!#REF!</f>
        <v>#REF!</v>
      </c>
      <c r="Q23" s="38" t="e">
        <f>'LICENCIAS Y PRODUCTOS 2025-03'!#REF!</f>
        <v>#REF!</v>
      </c>
      <c r="R23" s="38" t="e">
        <f>'LICENCIAS Y PRODUCTOS 2025-03'!#REF!</f>
        <v>#REF!</v>
      </c>
      <c r="S23" s="38" t="e">
        <f>'LICENCIAS Y PRODUCTOS 2025-03'!#REF!</f>
        <v>#REF!</v>
      </c>
      <c r="T23" s="38" t="e">
        <f>'LICENCIAS Y PRODUCTOS 2025-03'!#REF!</f>
        <v>#REF!</v>
      </c>
      <c r="U23" s="38" t="e">
        <f>'LICENCIAS Y PRODUCTOS 2025-03'!#REF!</f>
        <v>#REF!</v>
      </c>
      <c r="V23" s="38" t="e">
        <f>'LICENCIAS Y PRODUCTOS 2025-03'!#REF!</f>
        <v>#REF!</v>
      </c>
      <c r="W23" s="38" t="e">
        <f>'LICENCIAS Y PRODUCTOS 2025-03'!#REF!</f>
        <v>#REF!</v>
      </c>
      <c r="X23" s="38" t="e">
        <f>'LICENCIAS Y PRODUCTOS 2025-03'!#REF!</f>
        <v>#REF!</v>
      </c>
      <c r="Y23" s="38" t="e">
        <f>'LICENCIAS Y PRODUCTOS 2025-03'!#REF!</f>
        <v>#REF!</v>
      </c>
      <c r="Z23" s="38" t="e">
        <f>'LICENCIAS Y PRODUCTOS 2025-03'!#REF!</f>
        <v>#REF!</v>
      </c>
      <c r="AA23" s="38" t="e">
        <f>'LICENCIAS Y PRODUCTOS 2025-03'!#REF!</f>
        <v>#REF!</v>
      </c>
      <c r="AB23" s="38" t="e">
        <f>'LICENCIAS Y PRODUCTOS 2025-03'!#REF!</f>
        <v>#REF!</v>
      </c>
      <c r="AC23" s="38" t="e">
        <f>'LICENCIAS Y PRODUCTOS 2025-03'!#REF!</f>
        <v>#REF!</v>
      </c>
      <c r="AD23" s="38" t="e">
        <f>'LICENCIAS Y PRODUCTOS 2025-03'!#REF!</f>
        <v>#REF!</v>
      </c>
      <c r="AE23" s="38" t="e">
        <f>'LICENCIAS Y PRODUCTOS 2025-03'!#REF!</f>
        <v>#REF!</v>
      </c>
      <c r="AF23" s="38" t="e">
        <f>'LICENCIAS Y PRODUCTOS 2025-03'!#REF!</f>
        <v>#REF!</v>
      </c>
      <c r="AG23" s="38" t="e">
        <f>'LICENCIAS Y PRODUCTOS 2025-03'!#REF!</f>
        <v>#REF!</v>
      </c>
      <c r="AH23" s="38" t="e">
        <f>'LICENCIAS Y PRODUCTOS 2025-03'!#REF!</f>
        <v>#REF!</v>
      </c>
      <c r="AI23" s="38" t="e">
        <f>'LICENCIAS Y PRODUCTOS 2025-03'!#REF!</f>
        <v>#REF!</v>
      </c>
      <c r="AJ23" s="38" t="e">
        <f>'LICENCIAS Y PRODUCTOS 2025-03'!#REF!</f>
        <v>#REF!</v>
      </c>
      <c r="AK23" s="38"/>
      <c r="AL23" s="39" t="e">
        <f t="shared" si="1"/>
        <v>#REF!</v>
      </c>
    </row>
    <row r="24" spans="4:40" ht="20.100000000000001" customHeight="1" thickTop="1" thickBot="1">
      <c r="D24" s="21" t="s">
        <v>17</v>
      </c>
      <c r="E24" s="2" t="s">
        <v>181</v>
      </c>
      <c r="F24" s="23" t="s">
        <v>107</v>
      </c>
      <c r="G24" s="38" t="e">
        <f>'LICENCIAS Y PRODUCTOS 2025-03'!#REF!</f>
        <v>#REF!</v>
      </c>
      <c r="H24" s="38" t="e">
        <f>'LICENCIAS Y PRODUCTOS 2025-03'!#REF!</f>
        <v>#REF!</v>
      </c>
      <c r="I24" s="38" t="e">
        <f>'LICENCIAS Y PRODUCTOS 2025-03'!#REF!</f>
        <v>#REF!</v>
      </c>
      <c r="J24" s="38" t="e">
        <f>'LICENCIAS Y PRODUCTOS 2025-03'!#REF!</f>
        <v>#REF!</v>
      </c>
      <c r="K24" s="38" t="e">
        <f>'LICENCIAS Y PRODUCTOS 2025-03'!#REF!</f>
        <v>#REF!</v>
      </c>
      <c r="L24" s="38" t="e">
        <f>'LICENCIAS Y PRODUCTOS 2025-03'!#REF!</f>
        <v>#REF!</v>
      </c>
      <c r="M24" s="38" t="e">
        <f>'LICENCIAS Y PRODUCTOS 2025-03'!#REF!</f>
        <v>#REF!</v>
      </c>
      <c r="N24" s="38" t="e">
        <f>'LICENCIAS Y PRODUCTOS 2025-03'!#REF!</f>
        <v>#REF!</v>
      </c>
      <c r="O24" s="38" t="e">
        <f>'LICENCIAS Y PRODUCTOS 2025-03'!#REF!</f>
        <v>#REF!</v>
      </c>
      <c r="P24" s="38" t="e">
        <f>'LICENCIAS Y PRODUCTOS 2025-03'!#REF!</f>
        <v>#REF!</v>
      </c>
      <c r="Q24" s="38" t="e">
        <f>'LICENCIAS Y PRODUCTOS 2025-03'!#REF!</f>
        <v>#REF!</v>
      </c>
      <c r="R24" s="38" t="e">
        <f>'LICENCIAS Y PRODUCTOS 2025-03'!#REF!</f>
        <v>#REF!</v>
      </c>
      <c r="S24" s="38" t="e">
        <f>'LICENCIAS Y PRODUCTOS 2025-03'!#REF!</f>
        <v>#REF!</v>
      </c>
      <c r="T24" s="38" t="e">
        <f>'LICENCIAS Y PRODUCTOS 2025-03'!#REF!</f>
        <v>#REF!</v>
      </c>
      <c r="U24" s="38" t="e">
        <f>'LICENCIAS Y PRODUCTOS 2025-03'!#REF!</f>
        <v>#REF!</v>
      </c>
      <c r="V24" s="38" t="e">
        <f>'LICENCIAS Y PRODUCTOS 2025-03'!#REF!</f>
        <v>#REF!</v>
      </c>
      <c r="W24" s="38" t="e">
        <f>'LICENCIAS Y PRODUCTOS 2025-03'!#REF!</f>
        <v>#REF!</v>
      </c>
      <c r="X24" s="38" t="e">
        <f>'LICENCIAS Y PRODUCTOS 2025-03'!#REF!</f>
        <v>#REF!</v>
      </c>
      <c r="Y24" s="38" t="e">
        <f>'LICENCIAS Y PRODUCTOS 2025-03'!#REF!</f>
        <v>#REF!</v>
      </c>
      <c r="Z24" s="38" t="e">
        <f>'LICENCIAS Y PRODUCTOS 2025-03'!#REF!</f>
        <v>#REF!</v>
      </c>
      <c r="AA24" s="38" t="e">
        <f>'LICENCIAS Y PRODUCTOS 2025-03'!#REF!</f>
        <v>#REF!</v>
      </c>
      <c r="AB24" s="38" t="e">
        <f>'LICENCIAS Y PRODUCTOS 2025-03'!#REF!</f>
        <v>#REF!</v>
      </c>
      <c r="AC24" s="38" t="e">
        <f>'LICENCIAS Y PRODUCTOS 2025-03'!#REF!</f>
        <v>#REF!</v>
      </c>
      <c r="AD24" s="38" t="e">
        <f>'LICENCIAS Y PRODUCTOS 2025-03'!#REF!</f>
        <v>#REF!</v>
      </c>
      <c r="AE24" s="38" t="e">
        <f>'LICENCIAS Y PRODUCTOS 2025-03'!#REF!</f>
        <v>#REF!</v>
      </c>
      <c r="AF24" s="38" t="e">
        <f>'LICENCIAS Y PRODUCTOS 2025-03'!#REF!</f>
        <v>#REF!</v>
      </c>
      <c r="AG24" s="38" t="e">
        <f>'LICENCIAS Y PRODUCTOS 2025-03'!#REF!</f>
        <v>#REF!</v>
      </c>
      <c r="AH24" s="38" t="e">
        <f>'LICENCIAS Y PRODUCTOS 2025-03'!#REF!</f>
        <v>#REF!</v>
      </c>
      <c r="AI24" s="38" t="e">
        <f>'LICENCIAS Y PRODUCTOS 2025-03'!#REF!</f>
        <v>#REF!</v>
      </c>
      <c r="AJ24" s="38" t="e">
        <f>'LICENCIAS Y PRODUCTOS 2025-03'!#REF!</f>
        <v>#REF!</v>
      </c>
      <c r="AK24" s="38"/>
      <c r="AL24" s="39" t="e">
        <f t="shared" si="1"/>
        <v>#REF!</v>
      </c>
    </row>
    <row r="25" spans="4:40" ht="20.100000000000001" customHeight="1" thickTop="1" thickBot="1">
      <c r="D25" s="21" t="s">
        <v>19</v>
      </c>
      <c r="E25" s="2" t="s">
        <v>20</v>
      </c>
      <c r="F25" s="23" t="s">
        <v>108</v>
      </c>
      <c r="G25" s="38" t="e">
        <f>'LICENCIAS Y PRODUCTOS 2025-03'!#REF!</f>
        <v>#REF!</v>
      </c>
      <c r="H25" s="38" t="e">
        <f>'LICENCIAS Y PRODUCTOS 2025-03'!#REF!</f>
        <v>#REF!</v>
      </c>
      <c r="I25" s="38" t="e">
        <f>'LICENCIAS Y PRODUCTOS 2025-03'!#REF!</f>
        <v>#REF!</v>
      </c>
      <c r="J25" s="38" t="e">
        <f>'LICENCIAS Y PRODUCTOS 2025-03'!#REF!</f>
        <v>#REF!</v>
      </c>
      <c r="K25" s="38" t="e">
        <f>'LICENCIAS Y PRODUCTOS 2025-03'!#REF!</f>
        <v>#REF!</v>
      </c>
      <c r="L25" s="38" t="e">
        <f>'LICENCIAS Y PRODUCTOS 2025-03'!#REF!</f>
        <v>#REF!</v>
      </c>
      <c r="M25" s="38" t="e">
        <f>'LICENCIAS Y PRODUCTOS 2025-03'!#REF!</f>
        <v>#REF!</v>
      </c>
      <c r="N25" s="38" t="e">
        <f>'LICENCIAS Y PRODUCTOS 2025-03'!#REF!</f>
        <v>#REF!</v>
      </c>
      <c r="O25" s="38" t="e">
        <f>'LICENCIAS Y PRODUCTOS 2025-03'!#REF!</f>
        <v>#REF!</v>
      </c>
      <c r="P25" s="38" t="e">
        <f>'LICENCIAS Y PRODUCTOS 2025-03'!#REF!</f>
        <v>#REF!</v>
      </c>
      <c r="Q25" s="38" t="e">
        <f>'LICENCIAS Y PRODUCTOS 2025-03'!#REF!</f>
        <v>#REF!</v>
      </c>
      <c r="R25" s="38" t="e">
        <f>'LICENCIAS Y PRODUCTOS 2025-03'!#REF!</f>
        <v>#REF!</v>
      </c>
      <c r="S25" s="38" t="e">
        <f>'LICENCIAS Y PRODUCTOS 2025-03'!#REF!</f>
        <v>#REF!</v>
      </c>
      <c r="T25" s="38" t="e">
        <f>'LICENCIAS Y PRODUCTOS 2025-03'!#REF!</f>
        <v>#REF!</v>
      </c>
      <c r="U25" s="38" t="e">
        <f>'LICENCIAS Y PRODUCTOS 2025-03'!#REF!</f>
        <v>#REF!</v>
      </c>
      <c r="V25" s="38" t="e">
        <f>'LICENCIAS Y PRODUCTOS 2025-03'!#REF!</f>
        <v>#REF!</v>
      </c>
      <c r="W25" s="38" t="e">
        <f>'LICENCIAS Y PRODUCTOS 2025-03'!#REF!</f>
        <v>#REF!</v>
      </c>
      <c r="X25" s="38" t="e">
        <f>'LICENCIAS Y PRODUCTOS 2025-03'!#REF!</f>
        <v>#REF!</v>
      </c>
      <c r="Y25" s="38" t="e">
        <f>'LICENCIAS Y PRODUCTOS 2025-03'!#REF!</f>
        <v>#REF!</v>
      </c>
      <c r="Z25" s="38" t="e">
        <f>'LICENCIAS Y PRODUCTOS 2025-03'!#REF!</f>
        <v>#REF!</v>
      </c>
      <c r="AA25" s="38" t="e">
        <f>'LICENCIAS Y PRODUCTOS 2025-03'!#REF!</f>
        <v>#REF!</v>
      </c>
      <c r="AB25" s="38" t="e">
        <f>'LICENCIAS Y PRODUCTOS 2025-03'!#REF!</f>
        <v>#REF!</v>
      </c>
      <c r="AC25" s="38" t="e">
        <f>'LICENCIAS Y PRODUCTOS 2025-03'!#REF!</f>
        <v>#REF!</v>
      </c>
      <c r="AD25" s="38" t="e">
        <f>'LICENCIAS Y PRODUCTOS 2025-03'!#REF!</f>
        <v>#REF!</v>
      </c>
      <c r="AE25" s="38" t="e">
        <f>'LICENCIAS Y PRODUCTOS 2025-03'!#REF!</f>
        <v>#REF!</v>
      </c>
      <c r="AF25" s="38" t="e">
        <f>'LICENCIAS Y PRODUCTOS 2025-03'!#REF!</f>
        <v>#REF!</v>
      </c>
      <c r="AG25" s="38" t="e">
        <f>'LICENCIAS Y PRODUCTOS 2025-03'!#REF!</f>
        <v>#REF!</v>
      </c>
      <c r="AH25" s="38" t="e">
        <f>'LICENCIAS Y PRODUCTOS 2025-03'!#REF!</f>
        <v>#REF!</v>
      </c>
      <c r="AI25" s="38" t="e">
        <f>'LICENCIAS Y PRODUCTOS 2025-03'!#REF!</f>
        <v>#REF!</v>
      </c>
      <c r="AJ25" s="38" t="e">
        <f>'LICENCIAS Y PRODUCTOS 2025-03'!#REF!</f>
        <v>#REF!</v>
      </c>
      <c r="AK25" s="38"/>
      <c r="AL25" s="39" t="e">
        <f t="shared" si="1"/>
        <v>#REF!</v>
      </c>
    </row>
    <row r="26" spans="4:40" ht="20.100000000000001" customHeight="1" thickTop="1" thickBot="1">
      <c r="D26" s="21" t="s">
        <v>21</v>
      </c>
      <c r="E26" s="2" t="s">
        <v>128</v>
      </c>
      <c r="F26" s="23" t="s">
        <v>111</v>
      </c>
      <c r="G26" s="38" t="e">
        <f>'LICENCIAS Y PRODUCTOS 2025-03'!#REF!</f>
        <v>#REF!</v>
      </c>
      <c r="H26" s="38" t="e">
        <f>'LICENCIAS Y PRODUCTOS 2025-03'!#REF!</f>
        <v>#REF!</v>
      </c>
      <c r="I26" s="38" t="e">
        <f>'LICENCIAS Y PRODUCTOS 2025-03'!#REF!</f>
        <v>#REF!</v>
      </c>
      <c r="J26" s="38" t="e">
        <f>'LICENCIAS Y PRODUCTOS 2025-03'!#REF!</f>
        <v>#REF!</v>
      </c>
      <c r="K26" s="38" t="e">
        <f>'LICENCIAS Y PRODUCTOS 2025-03'!#REF!</f>
        <v>#REF!</v>
      </c>
      <c r="L26" s="38" t="e">
        <f>'LICENCIAS Y PRODUCTOS 2025-03'!#REF!</f>
        <v>#REF!</v>
      </c>
      <c r="M26" s="38" t="e">
        <f>'LICENCIAS Y PRODUCTOS 2025-03'!#REF!</f>
        <v>#REF!</v>
      </c>
      <c r="N26" s="38" t="e">
        <f>'LICENCIAS Y PRODUCTOS 2025-03'!#REF!</f>
        <v>#REF!</v>
      </c>
      <c r="O26" s="38" t="e">
        <f>'LICENCIAS Y PRODUCTOS 2025-03'!#REF!</f>
        <v>#REF!</v>
      </c>
      <c r="P26" s="38" t="e">
        <f>'LICENCIAS Y PRODUCTOS 2025-03'!#REF!</f>
        <v>#REF!</v>
      </c>
      <c r="Q26" s="38" t="e">
        <f>'LICENCIAS Y PRODUCTOS 2025-03'!#REF!</f>
        <v>#REF!</v>
      </c>
      <c r="R26" s="38" t="e">
        <f>'LICENCIAS Y PRODUCTOS 2025-03'!#REF!</f>
        <v>#REF!</v>
      </c>
      <c r="S26" s="38" t="e">
        <f>'LICENCIAS Y PRODUCTOS 2025-03'!#REF!</f>
        <v>#REF!</v>
      </c>
      <c r="T26" s="38" t="e">
        <f>'LICENCIAS Y PRODUCTOS 2025-03'!#REF!</f>
        <v>#REF!</v>
      </c>
      <c r="U26" s="38" t="e">
        <f>'LICENCIAS Y PRODUCTOS 2025-03'!#REF!</f>
        <v>#REF!</v>
      </c>
      <c r="V26" s="38" t="e">
        <f>'LICENCIAS Y PRODUCTOS 2025-03'!#REF!</f>
        <v>#REF!</v>
      </c>
      <c r="W26" s="38" t="e">
        <f>'LICENCIAS Y PRODUCTOS 2025-03'!#REF!</f>
        <v>#REF!</v>
      </c>
      <c r="X26" s="38" t="e">
        <f>'LICENCIAS Y PRODUCTOS 2025-03'!#REF!</f>
        <v>#REF!</v>
      </c>
      <c r="Y26" s="38" t="e">
        <f>'LICENCIAS Y PRODUCTOS 2025-03'!#REF!</f>
        <v>#REF!</v>
      </c>
      <c r="Z26" s="38" t="e">
        <f>'LICENCIAS Y PRODUCTOS 2025-03'!#REF!</f>
        <v>#REF!</v>
      </c>
      <c r="AA26" s="38" t="e">
        <f>'LICENCIAS Y PRODUCTOS 2025-03'!#REF!</f>
        <v>#REF!</v>
      </c>
      <c r="AB26" s="38" t="e">
        <f>'LICENCIAS Y PRODUCTOS 2025-03'!#REF!</f>
        <v>#REF!</v>
      </c>
      <c r="AC26" s="38" t="e">
        <f>'LICENCIAS Y PRODUCTOS 2025-03'!#REF!</f>
        <v>#REF!</v>
      </c>
      <c r="AD26" s="38" t="e">
        <f>'LICENCIAS Y PRODUCTOS 2025-03'!#REF!</f>
        <v>#REF!</v>
      </c>
      <c r="AE26" s="38" t="e">
        <f>'LICENCIAS Y PRODUCTOS 2025-03'!#REF!</f>
        <v>#REF!</v>
      </c>
      <c r="AF26" s="38" t="e">
        <f>'LICENCIAS Y PRODUCTOS 2025-03'!#REF!</f>
        <v>#REF!</v>
      </c>
      <c r="AG26" s="38" t="e">
        <f>'LICENCIAS Y PRODUCTOS 2025-03'!#REF!</f>
        <v>#REF!</v>
      </c>
      <c r="AH26" s="38" t="e">
        <f>'LICENCIAS Y PRODUCTOS 2025-03'!#REF!</f>
        <v>#REF!</v>
      </c>
      <c r="AI26" s="38" t="e">
        <f>'LICENCIAS Y PRODUCTOS 2025-03'!#REF!</f>
        <v>#REF!</v>
      </c>
      <c r="AJ26" s="38" t="e">
        <f>'LICENCIAS Y PRODUCTOS 2025-03'!#REF!</f>
        <v>#REF!</v>
      </c>
      <c r="AK26" s="38"/>
      <c r="AL26" s="39" t="e">
        <f t="shared" si="1"/>
        <v>#REF!</v>
      </c>
    </row>
    <row r="27" spans="4:40" ht="20.100000000000001" customHeight="1" thickTop="1" thickBot="1">
      <c r="D27" s="21" t="s">
        <v>21</v>
      </c>
      <c r="E27" s="2" t="s">
        <v>129</v>
      </c>
      <c r="F27" s="23" t="s">
        <v>112</v>
      </c>
      <c r="G27" s="38" t="e">
        <f>'LICENCIAS Y PRODUCTOS 2025-03'!#REF!</f>
        <v>#REF!</v>
      </c>
      <c r="H27" s="38" t="e">
        <f>'LICENCIAS Y PRODUCTOS 2025-03'!#REF!</f>
        <v>#REF!</v>
      </c>
      <c r="I27" s="38" t="e">
        <f>'LICENCIAS Y PRODUCTOS 2025-03'!#REF!</f>
        <v>#REF!</v>
      </c>
      <c r="J27" s="38" t="e">
        <f>'LICENCIAS Y PRODUCTOS 2025-03'!#REF!</f>
        <v>#REF!</v>
      </c>
      <c r="K27" s="38" t="e">
        <f>'LICENCIAS Y PRODUCTOS 2025-03'!#REF!</f>
        <v>#REF!</v>
      </c>
      <c r="L27" s="38" t="e">
        <f>'LICENCIAS Y PRODUCTOS 2025-03'!#REF!</f>
        <v>#REF!</v>
      </c>
      <c r="M27" s="38" t="e">
        <f>'LICENCIAS Y PRODUCTOS 2025-03'!#REF!</f>
        <v>#REF!</v>
      </c>
      <c r="N27" s="38" t="e">
        <f>'LICENCIAS Y PRODUCTOS 2025-03'!#REF!</f>
        <v>#REF!</v>
      </c>
      <c r="O27" s="38" t="e">
        <f>'LICENCIAS Y PRODUCTOS 2025-03'!#REF!</f>
        <v>#REF!</v>
      </c>
      <c r="P27" s="38" t="e">
        <f>'LICENCIAS Y PRODUCTOS 2025-03'!#REF!</f>
        <v>#REF!</v>
      </c>
      <c r="Q27" s="38" t="e">
        <f>'LICENCIAS Y PRODUCTOS 2025-03'!#REF!</f>
        <v>#REF!</v>
      </c>
      <c r="R27" s="38" t="e">
        <f>'LICENCIAS Y PRODUCTOS 2025-03'!#REF!</f>
        <v>#REF!</v>
      </c>
      <c r="S27" s="38" t="e">
        <f>'LICENCIAS Y PRODUCTOS 2025-03'!#REF!</f>
        <v>#REF!</v>
      </c>
      <c r="T27" s="38" t="e">
        <f>'LICENCIAS Y PRODUCTOS 2025-03'!#REF!</f>
        <v>#REF!</v>
      </c>
      <c r="U27" s="38" t="e">
        <f>'LICENCIAS Y PRODUCTOS 2025-03'!#REF!</f>
        <v>#REF!</v>
      </c>
      <c r="V27" s="38" t="e">
        <f>'LICENCIAS Y PRODUCTOS 2025-03'!#REF!</f>
        <v>#REF!</v>
      </c>
      <c r="W27" s="38" t="e">
        <f>'LICENCIAS Y PRODUCTOS 2025-03'!#REF!</f>
        <v>#REF!</v>
      </c>
      <c r="X27" s="38" t="e">
        <f>'LICENCIAS Y PRODUCTOS 2025-03'!#REF!</f>
        <v>#REF!</v>
      </c>
      <c r="Y27" s="38" t="e">
        <f>'LICENCIAS Y PRODUCTOS 2025-03'!#REF!</f>
        <v>#REF!</v>
      </c>
      <c r="Z27" s="38" t="e">
        <f>'LICENCIAS Y PRODUCTOS 2025-03'!#REF!</f>
        <v>#REF!</v>
      </c>
      <c r="AA27" s="38" t="e">
        <f>'LICENCIAS Y PRODUCTOS 2025-03'!#REF!</f>
        <v>#REF!</v>
      </c>
      <c r="AB27" s="38" t="e">
        <f>'LICENCIAS Y PRODUCTOS 2025-03'!#REF!</f>
        <v>#REF!</v>
      </c>
      <c r="AC27" s="38" t="e">
        <f>'LICENCIAS Y PRODUCTOS 2025-03'!#REF!</f>
        <v>#REF!</v>
      </c>
      <c r="AD27" s="38" t="e">
        <f>'LICENCIAS Y PRODUCTOS 2025-03'!#REF!</f>
        <v>#REF!</v>
      </c>
      <c r="AE27" s="38" t="e">
        <f>'LICENCIAS Y PRODUCTOS 2025-03'!#REF!</f>
        <v>#REF!</v>
      </c>
      <c r="AF27" s="38" t="e">
        <f>'LICENCIAS Y PRODUCTOS 2025-03'!#REF!</f>
        <v>#REF!</v>
      </c>
      <c r="AG27" s="38" t="e">
        <f>'LICENCIAS Y PRODUCTOS 2025-03'!#REF!</f>
        <v>#REF!</v>
      </c>
      <c r="AH27" s="38" t="e">
        <f>'LICENCIAS Y PRODUCTOS 2025-03'!#REF!</f>
        <v>#REF!</v>
      </c>
      <c r="AI27" s="38" t="e">
        <f>'LICENCIAS Y PRODUCTOS 2025-03'!#REF!</f>
        <v>#REF!</v>
      </c>
      <c r="AJ27" s="38" t="e">
        <f>'LICENCIAS Y PRODUCTOS 2025-03'!#REF!</f>
        <v>#REF!</v>
      </c>
      <c r="AK27" s="38"/>
      <c r="AL27" s="39" t="e">
        <f t="shared" si="1"/>
        <v>#REF!</v>
      </c>
    </row>
    <row r="28" spans="4:40" ht="20.100000000000001" customHeight="1" thickTop="1" thickBot="1">
      <c r="D28" s="21" t="s">
        <v>21</v>
      </c>
      <c r="E28" s="79" t="s">
        <v>131</v>
      </c>
      <c r="F28" s="41" t="s">
        <v>132</v>
      </c>
      <c r="G28" s="38" t="e">
        <f>'LICENCIAS Y PRODUCTOS 2025-03'!#REF!</f>
        <v>#REF!</v>
      </c>
      <c r="H28" s="38" t="e">
        <f>'LICENCIAS Y PRODUCTOS 2025-03'!#REF!</f>
        <v>#REF!</v>
      </c>
      <c r="I28" s="38" t="e">
        <f>'LICENCIAS Y PRODUCTOS 2025-03'!#REF!</f>
        <v>#REF!</v>
      </c>
      <c r="J28" s="38" t="e">
        <f>'LICENCIAS Y PRODUCTOS 2025-03'!#REF!</f>
        <v>#REF!</v>
      </c>
      <c r="K28" s="38" t="e">
        <f>'LICENCIAS Y PRODUCTOS 2025-03'!#REF!</f>
        <v>#REF!</v>
      </c>
      <c r="L28" s="38" t="e">
        <f>'LICENCIAS Y PRODUCTOS 2025-03'!#REF!</f>
        <v>#REF!</v>
      </c>
      <c r="M28" s="38" t="e">
        <f>'LICENCIAS Y PRODUCTOS 2025-03'!#REF!</f>
        <v>#REF!</v>
      </c>
      <c r="N28" s="38" t="e">
        <f>'LICENCIAS Y PRODUCTOS 2025-03'!#REF!</f>
        <v>#REF!</v>
      </c>
      <c r="O28" s="38" t="e">
        <f>'LICENCIAS Y PRODUCTOS 2025-03'!#REF!</f>
        <v>#REF!</v>
      </c>
      <c r="P28" s="38" t="e">
        <f>'LICENCIAS Y PRODUCTOS 2025-03'!#REF!</f>
        <v>#REF!</v>
      </c>
      <c r="Q28" s="38" t="e">
        <f>'LICENCIAS Y PRODUCTOS 2025-03'!#REF!</f>
        <v>#REF!</v>
      </c>
      <c r="R28" s="38" t="e">
        <f>'LICENCIAS Y PRODUCTOS 2025-03'!#REF!</f>
        <v>#REF!</v>
      </c>
      <c r="S28" s="38" t="e">
        <f>'LICENCIAS Y PRODUCTOS 2025-03'!#REF!</f>
        <v>#REF!</v>
      </c>
      <c r="T28" s="38" t="e">
        <f>'LICENCIAS Y PRODUCTOS 2025-03'!#REF!</f>
        <v>#REF!</v>
      </c>
      <c r="U28" s="38" t="e">
        <f>'LICENCIAS Y PRODUCTOS 2025-03'!#REF!</f>
        <v>#REF!</v>
      </c>
      <c r="V28" s="38" t="e">
        <f>'LICENCIAS Y PRODUCTOS 2025-03'!#REF!</f>
        <v>#REF!</v>
      </c>
      <c r="W28" s="38" t="e">
        <f>'LICENCIAS Y PRODUCTOS 2025-03'!#REF!</f>
        <v>#REF!</v>
      </c>
      <c r="X28" s="38" t="e">
        <f>'LICENCIAS Y PRODUCTOS 2025-03'!#REF!</f>
        <v>#REF!</v>
      </c>
      <c r="Y28" s="38" t="e">
        <f>'LICENCIAS Y PRODUCTOS 2025-03'!#REF!</f>
        <v>#REF!</v>
      </c>
      <c r="Z28" s="38" t="e">
        <f>'LICENCIAS Y PRODUCTOS 2025-03'!#REF!</f>
        <v>#REF!</v>
      </c>
      <c r="AA28" s="38" t="e">
        <f>'LICENCIAS Y PRODUCTOS 2025-03'!#REF!</f>
        <v>#REF!</v>
      </c>
      <c r="AB28" s="38" t="e">
        <f>'LICENCIAS Y PRODUCTOS 2025-03'!#REF!</f>
        <v>#REF!</v>
      </c>
      <c r="AC28" s="38" t="e">
        <f>'LICENCIAS Y PRODUCTOS 2025-03'!#REF!</f>
        <v>#REF!</v>
      </c>
      <c r="AD28" s="38" t="e">
        <f>'LICENCIAS Y PRODUCTOS 2025-03'!#REF!</f>
        <v>#REF!</v>
      </c>
      <c r="AE28" s="38" t="e">
        <f>'LICENCIAS Y PRODUCTOS 2025-03'!#REF!</f>
        <v>#REF!</v>
      </c>
      <c r="AF28" s="38" t="e">
        <f>'LICENCIAS Y PRODUCTOS 2025-03'!#REF!</f>
        <v>#REF!</v>
      </c>
      <c r="AG28" s="38" t="e">
        <f>'LICENCIAS Y PRODUCTOS 2025-03'!#REF!</f>
        <v>#REF!</v>
      </c>
      <c r="AH28" s="38" t="e">
        <f>'LICENCIAS Y PRODUCTOS 2025-03'!#REF!</f>
        <v>#REF!</v>
      </c>
      <c r="AI28" s="38" t="e">
        <f>'LICENCIAS Y PRODUCTOS 2025-03'!#REF!</f>
        <v>#REF!</v>
      </c>
      <c r="AJ28" s="38" t="e">
        <f>'LICENCIAS Y PRODUCTOS 2025-03'!#REF!</f>
        <v>#REF!</v>
      </c>
      <c r="AK28" s="38"/>
      <c r="AL28" s="39" t="e">
        <f t="shared" si="1"/>
        <v>#REF!</v>
      </c>
    </row>
    <row r="29" spans="4:40" ht="20.100000000000001" customHeight="1" thickTop="1" thickBot="1">
      <c r="D29" s="21" t="s">
        <v>27</v>
      </c>
      <c r="E29" s="2" t="s">
        <v>28</v>
      </c>
      <c r="F29" s="23" t="s">
        <v>113</v>
      </c>
      <c r="G29" s="38" t="e">
        <f>'LICENCIAS Y PRODUCTOS 2025-03'!#REF!</f>
        <v>#REF!</v>
      </c>
      <c r="H29" s="38" t="e">
        <f>'LICENCIAS Y PRODUCTOS 2025-03'!#REF!</f>
        <v>#REF!</v>
      </c>
      <c r="I29" s="38" t="e">
        <f>'LICENCIAS Y PRODUCTOS 2025-03'!#REF!</f>
        <v>#REF!</v>
      </c>
      <c r="J29" s="38" t="e">
        <f>'LICENCIAS Y PRODUCTOS 2025-03'!#REF!</f>
        <v>#REF!</v>
      </c>
      <c r="K29" s="38" t="e">
        <f>'LICENCIAS Y PRODUCTOS 2025-03'!#REF!</f>
        <v>#REF!</v>
      </c>
      <c r="L29" s="38" t="e">
        <f>'LICENCIAS Y PRODUCTOS 2025-03'!#REF!</f>
        <v>#REF!</v>
      </c>
      <c r="M29" s="38" t="e">
        <f>'LICENCIAS Y PRODUCTOS 2025-03'!#REF!</f>
        <v>#REF!</v>
      </c>
      <c r="N29" s="38" t="e">
        <f>'LICENCIAS Y PRODUCTOS 2025-03'!#REF!</f>
        <v>#REF!</v>
      </c>
      <c r="O29" s="38" t="e">
        <f>'LICENCIAS Y PRODUCTOS 2025-03'!#REF!</f>
        <v>#REF!</v>
      </c>
      <c r="P29" s="38" t="e">
        <f>'LICENCIAS Y PRODUCTOS 2025-03'!#REF!</f>
        <v>#REF!</v>
      </c>
      <c r="Q29" s="38" t="e">
        <f>'LICENCIAS Y PRODUCTOS 2025-03'!#REF!</f>
        <v>#REF!</v>
      </c>
      <c r="R29" s="38" t="e">
        <f>'LICENCIAS Y PRODUCTOS 2025-03'!#REF!</f>
        <v>#REF!</v>
      </c>
      <c r="S29" s="38" t="e">
        <f>'LICENCIAS Y PRODUCTOS 2025-03'!#REF!</f>
        <v>#REF!</v>
      </c>
      <c r="T29" s="38" t="e">
        <f>'LICENCIAS Y PRODUCTOS 2025-03'!#REF!</f>
        <v>#REF!</v>
      </c>
      <c r="U29" s="38" t="e">
        <f>'LICENCIAS Y PRODUCTOS 2025-03'!#REF!</f>
        <v>#REF!</v>
      </c>
      <c r="V29" s="38" t="e">
        <f>'LICENCIAS Y PRODUCTOS 2025-03'!#REF!</f>
        <v>#REF!</v>
      </c>
      <c r="W29" s="38" t="e">
        <f>'LICENCIAS Y PRODUCTOS 2025-03'!#REF!</f>
        <v>#REF!</v>
      </c>
      <c r="X29" s="38" t="e">
        <f>'LICENCIAS Y PRODUCTOS 2025-03'!#REF!</f>
        <v>#REF!</v>
      </c>
      <c r="Y29" s="38" t="e">
        <f>'LICENCIAS Y PRODUCTOS 2025-03'!#REF!</f>
        <v>#REF!</v>
      </c>
      <c r="Z29" s="38" t="e">
        <f>'LICENCIAS Y PRODUCTOS 2025-03'!#REF!</f>
        <v>#REF!</v>
      </c>
      <c r="AA29" s="38" t="e">
        <f>'LICENCIAS Y PRODUCTOS 2025-03'!#REF!</f>
        <v>#REF!</v>
      </c>
      <c r="AB29" s="38" t="e">
        <f>'LICENCIAS Y PRODUCTOS 2025-03'!#REF!</f>
        <v>#REF!</v>
      </c>
      <c r="AC29" s="38" t="e">
        <f>'LICENCIAS Y PRODUCTOS 2025-03'!#REF!</f>
        <v>#REF!</v>
      </c>
      <c r="AD29" s="38" t="e">
        <f>'LICENCIAS Y PRODUCTOS 2025-03'!#REF!</f>
        <v>#REF!</v>
      </c>
      <c r="AE29" s="38" t="e">
        <f>'LICENCIAS Y PRODUCTOS 2025-03'!#REF!</f>
        <v>#REF!</v>
      </c>
      <c r="AF29" s="38" t="e">
        <f>'LICENCIAS Y PRODUCTOS 2025-03'!#REF!</f>
        <v>#REF!</v>
      </c>
      <c r="AG29" s="38" t="e">
        <f>'LICENCIAS Y PRODUCTOS 2025-03'!#REF!</f>
        <v>#REF!</v>
      </c>
      <c r="AH29" s="38" t="e">
        <f>'LICENCIAS Y PRODUCTOS 2025-03'!#REF!</f>
        <v>#REF!</v>
      </c>
      <c r="AI29" s="38" t="e">
        <f>'LICENCIAS Y PRODUCTOS 2025-03'!#REF!</f>
        <v>#REF!</v>
      </c>
      <c r="AJ29" s="38" t="e">
        <f>'LICENCIAS Y PRODUCTOS 2025-03'!#REF!</f>
        <v>#REF!</v>
      </c>
      <c r="AK29" s="38"/>
      <c r="AL29" s="39" t="e">
        <f t="shared" si="1"/>
        <v>#REF!</v>
      </c>
    </row>
    <row r="30" spans="4:40" ht="20.100000000000001" customHeight="1" thickTop="1" thickBot="1">
      <c r="D30" s="11"/>
      <c r="E30" s="12" t="s">
        <v>62</v>
      </c>
      <c r="F30" s="12"/>
      <c r="G30" s="43" t="e">
        <f>SUM(Table134[AT])</f>
        <v>#REF!</v>
      </c>
      <c r="H30" s="43" t="e">
        <f>SUM(Table134[BE])</f>
        <v>#REF!</v>
      </c>
      <c r="I30" s="43" t="e">
        <f>SUM(Table134[BG])</f>
        <v>#REF!</v>
      </c>
      <c r="J30" s="43" t="e">
        <f>SUM(Table134[CY])</f>
        <v>#REF!</v>
      </c>
      <c r="K30" s="43" t="e">
        <f>SUM(Table134[CZ])</f>
        <v>#REF!</v>
      </c>
      <c r="L30" s="43" t="e">
        <f>SUM(Table134[DE])</f>
        <v>#REF!</v>
      </c>
      <c r="M30" s="43" t="e">
        <f>SUM(Table134[DK])</f>
        <v>#REF!</v>
      </c>
      <c r="N30" s="43" t="e">
        <f>SUM(Table134[EE])</f>
        <v>#REF!</v>
      </c>
      <c r="O30" s="43" t="e">
        <f>SUM(Table134[EL])</f>
        <v>#REF!</v>
      </c>
      <c r="P30" s="43" t="e">
        <f>SUM(Table134[ES])</f>
        <v>#REF!</v>
      </c>
      <c r="Q30" s="43" t="e">
        <f>SUM(Table134[FI])</f>
        <v>#REF!</v>
      </c>
      <c r="R30" s="43" t="e">
        <f>SUM(Table134[FR])</f>
        <v>#REF!</v>
      </c>
      <c r="S30" s="43" t="e">
        <f>SUM(Table134[[HR ]])</f>
        <v>#REF!</v>
      </c>
      <c r="T30" s="43" t="e">
        <f>SUM(Table134[HU])</f>
        <v>#REF!</v>
      </c>
      <c r="U30" s="43" t="e">
        <f>SUM(Table134[IE])</f>
        <v>#REF!</v>
      </c>
      <c r="V30" s="43" t="e">
        <f>SUM(Table134[IS])</f>
        <v>#REF!</v>
      </c>
      <c r="W30" s="43" t="e">
        <f>SUM(Table134[IT])</f>
        <v>#REF!</v>
      </c>
      <c r="X30" s="43" t="e">
        <f>SUM(Table134[LT])</f>
        <v>#REF!</v>
      </c>
      <c r="Y30" s="43" t="e">
        <f>SUM(Table134[LU])</f>
        <v>#REF!</v>
      </c>
      <c r="Z30" s="43" t="e">
        <f>SUM(Table134[LV])</f>
        <v>#REF!</v>
      </c>
      <c r="AA30" s="43" t="e">
        <f>SUM(Table134[MT])</f>
        <v>#REF!</v>
      </c>
      <c r="AB30" s="43" t="e">
        <f>SUM(Table134[NL])</f>
        <v>#REF!</v>
      </c>
      <c r="AC30" s="43" t="e">
        <f>SUM(Table134[NO])</f>
        <v>#REF!</v>
      </c>
      <c r="AD30" s="43" t="e">
        <f>SUM(Table134[PL])</f>
        <v>#REF!</v>
      </c>
      <c r="AE30" s="43" t="e">
        <f>SUM(Table134[PT])</f>
        <v>#REF!</v>
      </c>
      <c r="AF30" s="43" t="e">
        <f>SUM(Table134[RO])</f>
        <v>#REF!</v>
      </c>
      <c r="AG30" s="43" t="e">
        <f>SUM(Table134[SE])</f>
        <v>#REF!</v>
      </c>
      <c r="AH30" s="43" t="e">
        <f>SUM(Table134[SI])</f>
        <v>#REF!</v>
      </c>
      <c r="AI30" s="43" t="e">
        <f>SUM(Table134[SK])</f>
        <v>#REF!</v>
      </c>
      <c r="AJ30" s="43">
        <f>SUM(Table134[Category2])</f>
        <v>0</v>
      </c>
      <c r="AK30" s="19"/>
      <c r="AL30" s="13" t="e">
        <f>SUM(AL4:AL29)</f>
        <v>#REF!</v>
      </c>
      <c r="AN30" s="75" t="e">
        <f>AL30/A_BackendPGCompil_March2025!AJ30</f>
        <v>#REF!</v>
      </c>
    </row>
    <row r="31" spans="4:40" ht="15.75" thickTop="1">
      <c r="AJ31" s="28"/>
    </row>
    <row r="32" spans="4:40" ht="15.75" thickBot="1"/>
    <row r="33" spans="4:40" ht="16.5" thickTop="1" thickBot="1">
      <c r="D33" s="5" t="s">
        <v>63</v>
      </c>
      <c r="E33" s="6"/>
      <c r="F33" s="6"/>
      <c r="G33" s="7"/>
      <c r="H33" s="7"/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9"/>
    </row>
    <row r="34" spans="4:40" ht="31.5" thickTop="1" thickBot="1">
      <c r="D34" s="3" t="s">
        <v>182</v>
      </c>
      <c r="E34" s="3" t="s">
        <v>183</v>
      </c>
      <c r="F34" s="3" t="s">
        <v>114</v>
      </c>
      <c r="G34" s="20" t="s">
        <v>35</v>
      </c>
      <c r="H34" s="20" t="s">
        <v>36</v>
      </c>
      <c r="I34" s="20" t="s">
        <v>37</v>
      </c>
      <c r="J34" s="20" t="s">
        <v>39</v>
      </c>
      <c r="K34" s="20" t="s">
        <v>33</v>
      </c>
      <c r="L34" s="20" t="s">
        <v>44</v>
      </c>
      <c r="M34" s="20" t="s">
        <v>40</v>
      </c>
      <c r="N34" s="20" t="s">
        <v>41</v>
      </c>
      <c r="O34" s="20" t="s">
        <v>135</v>
      </c>
      <c r="P34" s="20" t="s">
        <v>59</v>
      </c>
      <c r="Q34" s="20" t="s">
        <v>42</v>
      </c>
      <c r="R34" s="20" t="s">
        <v>43</v>
      </c>
      <c r="S34" s="20" t="s">
        <v>38</v>
      </c>
      <c r="T34" s="20" t="s">
        <v>45</v>
      </c>
      <c r="U34" s="20" t="s">
        <v>47</v>
      </c>
      <c r="V34" s="20" t="s">
        <v>46</v>
      </c>
      <c r="W34" s="20" t="s">
        <v>48</v>
      </c>
      <c r="X34" s="20" t="s">
        <v>50</v>
      </c>
      <c r="Y34" s="20" t="s">
        <v>51</v>
      </c>
      <c r="Z34" s="20" t="s">
        <v>49</v>
      </c>
      <c r="AA34" s="20" t="s">
        <v>52</v>
      </c>
      <c r="AB34" s="20" t="s">
        <v>53</v>
      </c>
      <c r="AC34" s="20" t="s">
        <v>54</v>
      </c>
      <c r="AD34" s="20" t="s">
        <v>121</v>
      </c>
      <c r="AE34" s="20" t="s">
        <v>55</v>
      </c>
      <c r="AF34" s="20" t="s">
        <v>56</v>
      </c>
      <c r="AG34" s="20" t="s">
        <v>60</v>
      </c>
      <c r="AH34" s="20" t="s">
        <v>58</v>
      </c>
      <c r="AI34" s="20" t="s">
        <v>57</v>
      </c>
      <c r="AJ34" s="45" t="s">
        <v>169</v>
      </c>
      <c r="AK34" s="45" t="s">
        <v>138</v>
      </c>
      <c r="AL34" s="15" t="s">
        <v>61</v>
      </c>
    </row>
    <row r="35" spans="4:40" ht="20.100000000000001" customHeight="1" thickTop="1" thickBot="1">
      <c r="D35" s="21" t="s">
        <v>1</v>
      </c>
      <c r="E35" s="76" t="s">
        <v>172</v>
      </c>
      <c r="F35" s="77" t="s">
        <v>92</v>
      </c>
      <c r="G35" s="38" t="e">
        <f>'LICENCIAS Y PRODUCTOS 2025-03'!#REF!</f>
        <v>#REF!</v>
      </c>
      <c r="H35" s="38" t="e">
        <f>'LICENCIAS Y PRODUCTOS 2025-03'!#REF!</f>
        <v>#REF!</v>
      </c>
      <c r="I35" s="38" t="e">
        <f>'LICENCIAS Y PRODUCTOS 2025-03'!#REF!</f>
        <v>#REF!</v>
      </c>
      <c r="J35" s="38" t="e">
        <f>'LICENCIAS Y PRODUCTOS 2025-03'!#REF!</f>
        <v>#REF!</v>
      </c>
      <c r="K35" s="38" t="e">
        <f>'LICENCIAS Y PRODUCTOS 2025-03'!#REF!</f>
        <v>#REF!</v>
      </c>
      <c r="L35" s="38" t="e">
        <f>'LICENCIAS Y PRODUCTOS 2025-03'!#REF!</f>
        <v>#REF!</v>
      </c>
      <c r="M35" s="38" t="e">
        <f>'LICENCIAS Y PRODUCTOS 2025-03'!#REF!</f>
        <v>#REF!</v>
      </c>
      <c r="N35" s="38" t="e">
        <f>'LICENCIAS Y PRODUCTOS 2025-03'!#REF!</f>
        <v>#REF!</v>
      </c>
      <c r="O35" s="38" t="e">
        <f>'LICENCIAS Y PRODUCTOS 2025-03'!#REF!</f>
        <v>#REF!</v>
      </c>
      <c r="P35" s="38" t="e">
        <f>'LICENCIAS Y PRODUCTOS 2025-03'!#REF!</f>
        <v>#REF!</v>
      </c>
      <c r="Q35" s="38" t="e">
        <f>'LICENCIAS Y PRODUCTOS 2025-03'!#REF!</f>
        <v>#REF!</v>
      </c>
      <c r="R35" s="38" t="e">
        <f>'LICENCIAS Y PRODUCTOS 2025-03'!#REF!</f>
        <v>#REF!</v>
      </c>
      <c r="S35" s="38" t="e">
        <f>'LICENCIAS Y PRODUCTOS 2025-03'!#REF!</f>
        <v>#REF!</v>
      </c>
      <c r="T35" s="38" t="e">
        <f>'LICENCIAS Y PRODUCTOS 2025-03'!#REF!</f>
        <v>#REF!</v>
      </c>
      <c r="U35" s="38" t="e">
        <f>'LICENCIAS Y PRODUCTOS 2025-03'!#REF!</f>
        <v>#REF!</v>
      </c>
      <c r="V35" s="38" t="e">
        <f>'LICENCIAS Y PRODUCTOS 2025-03'!#REF!</f>
        <v>#REF!</v>
      </c>
      <c r="W35" s="38" t="e">
        <f>'LICENCIAS Y PRODUCTOS 2025-03'!#REF!</f>
        <v>#REF!</v>
      </c>
      <c r="X35" s="38" t="e">
        <f>'LICENCIAS Y PRODUCTOS 2025-03'!#REF!</f>
        <v>#REF!</v>
      </c>
      <c r="Y35" s="38" t="e">
        <f>'LICENCIAS Y PRODUCTOS 2025-03'!#REF!</f>
        <v>#REF!</v>
      </c>
      <c r="Z35" s="38" t="e">
        <f>'LICENCIAS Y PRODUCTOS 2025-03'!#REF!</f>
        <v>#REF!</v>
      </c>
      <c r="AA35" s="38" t="e">
        <f>'LICENCIAS Y PRODUCTOS 2025-03'!#REF!</f>
        <v>#REF!</v>
      </c>
      <c r="AB35" s="38" t="e">
        <f>'LICENCIAS Y PRODUCTOS 2025-03'!#REF!</f>
        <v>#REF!</v>
      </c>
      <c r="AC35" s="38" t="e">
        <f>'LICENCIAS Y PRODUCTOS 2025-03'!#REF!</f>
        <v>#REF!</v>
      </c>
      <c r="AD35" s="38" t="e">
        <f>'LICENCIAS Y PRODUCTOS 2025-03'!#REF!</f>
        <v>#REF!</v>
      </c>
      <c r="AE35" s="38" t="e">
        <f>'LICENCIAS Y PRODUCTOS 2025-03'!#REF!</f>
        <v>#REF!</v>
      </c>
      <c r="AF35" s="38" t="e">
        <f>'LICENCIAS Y PRODUCTOS 2025-03'!#REF!</f>
        <v>#REF!</v>
      </c>
      <c r="AG35" s="38" t="e">
        <f>'LICENCIAS Y PRODUCTOS 2025-03'!#REF!</f>
        <v>#REF!</v>
      </c>
      <c r="AH35" s="38" t="e">
        <f>'LICENCIAS Y PRODUCTOS 2025-03'!#REF!</f>
        <v>#REF!</v>
      </c>
      <c r="AI35" s="38" t="e">
        <f>'LICENCIAS Y PRODUCTOS 2025-03'!#REF!</f>
        <v>#REF!</v>
      </c>
      <c r="AJ35" s="38" t="e">
        <f>'LICENCIAS Y PRODUCTOS 2025-03'!#REF!</f>
        <v>#REF!</v>
      </c>
      <c r="AK35" s="38"/>
      <c r="AL35" s="13" t="e">
        <f t="shared" ref="AL35:AL41" si="2">SUM(G35:AK35)</f>
        <v>#REF!</v>
      </c>
      <c r="AM35" s="28"/>
    </row>
    <row r="36" spans="4:40" ht="20.100000000000001" customHeight="1" thickTop="1" thickBot="1">
      <c r="D36" s="21" t="s">
        <v>1</v>
      </c>
      <c r="E36" s="112" t="s">
        <v>228</v>
      </c>
      <c r="F36" s="113" t="s">
        <v>93</v>
      </c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6">
        <f t="shared" si="2"/>
        <v>0</v>
      </c>
    </row>
    <row r="37" spans="4:40" ht="20.100000000000001" customHeight="1" thickTop="1" thickBot="1">
      <c r="D37" s="21" t="s">
        <v>1</v>
      </c>
      <c r="E37" s="2" t="s">
        <v>229</v>
      </c>
      <c r="F37" s="108" t="s">
        <v>93</v>
      </c>
      <c r="G37" s="38" t="e">
        <f>'LICENCIAS Y PRODUCTOS 2025-03'!#REF!</f>
        <v>#REF!</v>
      </c>
      <c r="H37" s="38" t="e">
        <f>'LICENCIAS Y PRODUCTOS 2025-03'!#REF!</f>
        <v>#REF!</v>
      </c>
      <c r="I37" s="38" t="e">
        <f>'LICENCIAS Y PRODUCTOS 2025-03'!#REF!</f>
        <v>#REF!</v>
      </c>
      <c r="J37" s="38" t="e">
        <f>'LICENCIAS Y PRODUCTOS 2025-03'!#REF!</f>
        <v>#REF!</v>
      </c>
      <c r="K37" s="38" t="e">
        <f>'LICENCIAS Y PRODUCTOS 2025-03'!#REF!</f>
        <v>#REF!</v>
      </c>
      <c r="L37" s="38" t="e">
        <f>'LICENCIAS Y PRODUCTOS 2025-03'!#REF!</f>
        <v>#REF!</v>
      </c>
      <c r="M37" s="38" t="e">
        <f>'LICENCIAS Y PRODUCTOS 2025-03'!#REF!</f>
        <v>#REF!</v>
      </c>
      <c r="N37" s="38" t="e">
        <f>'LICENCIAS Y PRODUCTOS 2025-03'!#REF!</f>
        <v>#REF!</v>
      </c>
      <c r="O37" s="38" t="e">
        <f>'LICENCIAS Y PRODUCTOS 2025-03'!#REF!</f>
        <v>#REF!</v>
      </c>
      <c r="P37" s="38" t="e">
        <f>'LICENCIAS Y PRODUCTOS 2025-03'!#REF!</f>
        <v>#REF!</v>
      </c>
      <c r="Q37" s="38" t="e">
        <f>'LICENCIAS Y PRODUCTOS 2025-03'!#REF!</f>
        <v>#REF!</v>
      </c>
      <c r="R37" s="38" t="e">
        <f>'LICENCIAS Y PRODUCTOS 2025-03'!#REF!</f>
        <v>#REF!</v>
      </c>
      <c r="S37" s="38" t="e">
        <f>'LICENCIAS Y PRODUCTOS 2025-03'!#REF!</f>
        <v>#REF!</v>
      </c>
      <c r="T37" s="38" t="e">
        <f>'LICENCIAS Y PRODUCTOS 2025-03'!#REF!</f>
        <v>#REF!</v>
      </c>
      <c r="U37" s="38" t="e">
        <f>'LICENCIAS Y PRODUCTOS 2025-03'!#REF!</f>
        <v>#REF!</v>
      </c>
      <c r="V37" s="38" t="e">
        <f>'LICENCIAS Y PRODUCTOS 2025-03'!#REF!</f>
        <v>#REF!</v>
      </c>
      <c r="W37" s="38" t="e">
        <f>'LICENCIAS Y PRODUCTOS 2025-03'!#REF!</f>
        <v>#REF!</v>
      </c>
      <c r="X37" s="38" t="e">
        <f>'LICENCIAS Y PRODUCTOS 2025-03'!#REF!</f>
        <v>#REF!</v>
      </c>
      <c r="Y37" s="38" t="e">
        <f>'LICENCIAS Y PRODUCTOS 2025-03'!#REF!</f>
        <v>#REF!</v>
      </c>
      <c r="Z37" s="38" t="e">
        <f>'LICENCIAS Y PRODUCTOS 2025-03'!#REF!</f>
        <v>#REF!</v>
      </c>
      <c r="AA37" s="38" t="e">
        <f>'LICENCIAS Y PRODUCTOS 2025-03'!#REF!</f>
        <v>#REF!</v>
      </c>
      <c r="AB37" s="38" t="e">
        <f>'LICENCIAS Y PRODUCTOS 2025-03'!#REF!</f>
        <v>#REF!</v>
      </c>
      <c r="AC37" s="38" t="e">
        <f>'LICENCIAS Y PRODUCTOS 2025-03'!#REF!</f>
        <v>#REF!</v>
      </c>
      <c r="AD37" s="38" t="e">
        <f>'LICENCIAS Y PRODUCTOS 2025-03'!#REF!</f>
        <v>#REF!</v>
      </c>
      <c r="AE37" s="38" t="e">
        <f>'LICENCIAS Y PRODUCTOS 2025-03'!#REF!</f>
        <v>#REF!</v>
      </c>
      <c r="AF37" s="38" t="e">
        <f>'LICENCIAS Y PRODUCTOS 2025-03'!#REF!</f>
        <v>#REF!</v>
      </c>
      <c r="AG37" s="38" t="e">
        <f>'LICENCIAS Y PRODUCTOS 2025-03'!#REF!</f>
        <v>#REF!</v>
      </c>
      <c r="AH37" s="38" t="e">
        <f>'LICENCIAS Y PRODUCTOS 2025-03'!#REF!</f>
        <v>#REF!</v>
      </c>
      <c r="AI37" s="38" t="e">
        <f>'LICENCIAS Y PRODUCTOS 2025-03'!#REF!</f>
        <v>#REF!</v>
      </c>
      <c r="AJ37" s="38" t="e">
        <f>'LICENCIAS Y PRODUCTOS 2025-03'!#REF!</f>
        <v>#REF!</v>
      </c>
      <c r="AK37" s="38"/>
      <c r="AL37" s="13" t="e">
        <f t="shared" si="2"/>
        <v>#REF!</v>
      </c>
    </row>
    <row r="38" spans="4:40" ht="20.100000000000001" customHeight="1" thickTop="1" thickBot="1">
      <c r="D38" s="21" t="s">
        <v>1</v>
      </c>
      <c r="E38" s="107" t="s">
        <v>226</v>
      </c>
      <c r="F38" s="108" t="s">
        <v>227</v>
      </c>
      <c r="G38" s="38" t="e">
        <f>'LICENCIAS Y PRODUCTOS 2025-03'!#REF!</f>
        <v>#REF!</v>
      </c>
      <c r="H38" s="38" t="e">
        <f>'LICENCIAS Y PRODUCTOS 2025-03'!#REF!</f>
        <v>#REF!</v>
      </c>
      <c r="I38" s="38" t="e">
        <f>'LICENCIAS Y PRODUCTOS 2025-03'!#REF!</f>
        <v>#REF!</v>
      </c>
      <c r="J38" s="38" t="e">
        <f>'LICENCIAS Y PRODUCTOS 2025-03'!#REF!</f>
        <v>#REF!</v>
      </c>
      <c r="K38" s="38" t="e">
        <f>'LICENCIAS Y PRODUCTOS 2025-03'!#REF!</f>
        <v>#REF!</v>
      </c>
      <c r="L38" s="38" t="e">
        <f>'LICENCIAS Y PRODUCTOS 2025-03'!#REF!</f>
        <v>#REF!</v>
      </c>
      <c r="M38" s="38" t="e">
        <f>'LICENCIAS Y PRODUCTOS 2025-03'!#REF!</f>
        <v>#REF!</v>
      </c>
      <c r="N38" s="38" t="e">
        <f>'LICENCIAS Y PRODUCTOS 2025-03'!#REF!</f>
        <v>#REF!</v>
      </c>
      <c r="O38" s="38" t="e">
        <f>'LICENCIAS Y PRODUCTOS 2025-03'!#REF!</f>
        <v>#REF!</v>
      </c>
      <c r="P38" s="38" t="e">
        <f>'LICENCIAS Y PRODUCTOS 2025-03'!#REF!</f>
        <v>#REF!</v>
      </c>
      <c r="Q38" s="38" t="e">
        <f>'LICENCIAS Y PRODUCTOS 2025-03'!#REF!</f>
        <v>#REF!</v>
      </c>
      <c r="R38" s="38" t="e">
        <f>'LICENCIAS Y PRODUCTOS 2025-03'!#REF!</f>
        <v>#REF!</v>
      </c>
      <c r="S38" s="38" t="e">
        <f>'LICENCIAS Y PRODUCTOS 2025-03'!#REF!</f>
        <v>#REF!</v>
      </c>
      <c r="T38" s="38" t="e">
        <f>'LICENCIAS Y PRODUCTOS 2025-03'!#REF!</f>
        <v>#REF!</v>
      </c>
      <c r="U38" s="38" t="e">
        <f>'LICENCIAS Y PRODUCTOS 2025-03'!#REF!</f>
        <v>#REF!</v>
      </c>
      <c r="V38" s="38" t="e">
        <f>'LICENCIAS Y PRODUCTOS 2025-03'!#REF!</f>
        <v>#REF!</v>
      </c>
      <c r="W38" s="38" t="e">
        <f>'LICENCIAS Y PRODUCTOS 2025-03'!#REF!</f>
        <v>#REF!</v>
      </c>
      <c r="X38" s="38" t="e">
        <f>'LICENCIAS Y PRODUCTOS 2025-03'!#REF!</f>
        <v>#REF!</v>
      </c>
      <c r="Y38" s="38" t="e">
        <f>'LICENCIAS Y PRODUCTOS 2025-03'!#REF!</f>
        <v>#REF!</v>
      </c>
      <c r="Z38" s="38" t="e">
        <f>'LICENCIAS Y PRODUCTOS 2025-03'!#REF!</f>
        <v>#REF!</v>
      </c>
      <c r="AA38" s="38" t="e">
        <f>'LICENCIAS Y PRODUCTOS 2025-03'!#REF!</f>
        <v>#REF!</v>
      </c>
      <c r="AB38" s="38" t="e">
        <f>'LICENCIAS Y PRODUCTOS 2025-03'!#REF!</f>
        <v>#REF!</v>
      </c>
      <c r="AC38" s="38" t="e">
        <f>'LICENCIAS Y PRODUCTOS 2025-03'!#REF!</f>
        <v>#REF!</v>
      </c>
      <c r="AD38" s="38" t="e">
        <f>'LICENCIAS Y PRODUCTOS 2025-03'!#REF!</f>
        <v>#REF!</v>
      </c>
      <c r="AE38" s="38" t="e">
        <f>'LICENCIAS Y PRODUCTOS 2025-03'!#REF!</f>
        <v>#REF!</v>
      </c>
      <c r="AF38" s="38" t="e">
        <f>'LICENCIAS Y PRODUCTOS 2025-03'!#REF!</f>
        <v>#REF!</v>
      </c>
      <c r="AG38" s="38" t="e">
        <f>'LICENCIAS Y PRODUCTOS 2025-03'!#REF!</f>
        <v>#REF!</v>
      </c>
      <c r="AH38" s="38" t="e">
        <f>'LICENCIAS Y PRODUCTOS 2025-03'!#REF!</f>
        <v>#REF!</v>
      </c>
      <c r="AI38" s="38" t="e">
        <f>'LICENCIAS Y PRODUCTOS 2025-03'!#REF!</f>
        <v>#REF!</v>
      </c>
      <c r="AJ38" s="38" t="e">
        <f>'LICENCIAS Y PRODUCTOS 2025-03'!#REF!</f>
        <v>#REF!</v>
      </c>
      <c r="AK38" s="38"/>
      <c r="AL38" s="13" t="e">
        <f t="shared" si="2"/>
        <v>#REF!</v>
      </c>
    </row>
    <row r="39" spans="4:40" ht="20.100000000000001" customHeight="1" thickTop="1" thickBot="1">
      <c r="D39" s="21" t="s">
        <v>1</v>
      </c>
      <c r="E39" s="2" t="s">
        <v>171</v>
      </c>
      <c r="F39" s="23" t="s">
        <v>170</v>
      </c>
      <c r="G39" s="38" t="e">
        <f>'LICENCIAS Y PRODUCTOS 2025-03'!#REF!</f>
        <v>#REF!</v>
      </c>
      <c r="H39" s="38" t="e">
        <f>'LICENCIAS Y PRODUCTOS 2025-03'!#REF!</f>
        <v>#REF!</v>
      </c>
      <c r="I39" s="38" t="e">
        <f>'LICENCIAS Y PRODUCTOS 2025-03'!#REF!</f>
        <v>#REF!</v>
      </c>
      <c r="J39" s="38" t="e">
        <f>'LICENCIAS Y PRODUCTOS 2025-03'!#REF!</f>
        <v>#REF!</v>
      </c>
      <c r="K39" s="38" t="e">
        <f>'LICENCIAS Y PRODUCTOS 2025-03'!#REF!</f>
        <v>#REF!</v>
      </c>
      <c r="L39" s="38" t="e">
        <f>'LICENCIAS Y PRODUCTOS 2025-03'!#REF!</f>
        <v>#REF!</v>
      </c>
      <c r="M39" s="38" t="e">
        <f>'LICENCIAS Y PRODUCTOS 2025-03'!#REF!</f>
        <v>#REF!</v>
      </c>
      <c r="N39" s="38" t="e">
        <f>'LICENCIAS Y PRODUCTOS 2025-03'!#REF!</f>
        <v>#REF!</v>
      </c>
      <c r="O39" s="38" t="e">
        <f>'LICENCIAS Y PRODUCTOS 2025-03'!#REF!</f>
        <v>#REF!</v>
      </c>
      <c r="P39" s="38" t="e">
        <f>'LICENCIAS Y PRODUCTOS 2025-03'!#REF!</f>
        <v>#REF!</v>
      </c>
      <c r="Q39" s="38" t="e">
        <f>'LICENCIAS Y PRODUCTOS 2025-03'!#REF!</f>
        <v>#REF!</v>
      </c>
      <c r="R39" s="38" t="e">
        <f>'LICENCIAS Y PRODUCTOS 2025-03'!#REF!</f>
        <v>#REF!</v>
      </c>
      <c r="S39" s="38" t="e">
        <f>'LICENCIAS Y PRODUCTOS 2025-03'!#REF!</f>
        <v>#REF!</v>
      </c>
      <c r="T39" s="38" t="e">
        <f>'LICENCIAS Y PRODUCTOS 2025-03'!#REF!</f>
        <v>#REF!</v>
      </c>
      <c r="U39" s="38" t="e">
        <f>'LICENCIAS Y PRODUCTOS 2025-03'!#REF!</f>
        <v>#REF!</v>
      </c>
      <c r="V39" s="38" t="e">
        <f>'LICENCIAS Y PRODUCTOS 2025-03'!#REF!</f>
        <v>#REF!</v>
      </c>
      <c r="W39" s="38" t="e">
        <f>'LICENCIAS Y PRODUCTOS 2025-03'!#REF!</f>
        <v>#REF!</v>
      </c>
      <c r="X39" s="38" t="e">
        <f>'LICENCIAS Y PRODUCTOS 2025-03'!#REF!</f>
        <v>#REF!</v>
      </c>
      <c r="Y39" s="38" t="e">
        <f>'LICENCIAS Y PRODUCTOS 2025-03'!#REF!</f>
        <v>#REF!</v>
      </c>
      <c r="Z39" s="38" t="e">
        <f>'LICENCIAS Y PRODUCTOS 2025-03'!#REF!</f>
        <v>#REF!</v>
      </c>
      <c r="AA39" s="38" t="e">
        <f>'LICENCIAS Y PRODUCTOS 2025-03'!#REF!</f>
        <v>#REF!</v>
      </c>
      <c r="AB39" s="38" t="e">
        <f>'LICENCIAS Y PRODUCTOS 2025-03'!#REF!</f>
        <v>#REF!</v>
      </c>
      <c r="AC39" s="38" t="e">
        <f>'LICENCIAS Y PRODUCTOS 2025-03'!#REF!</f>
        <v>#REF!</v>
      </c>
      <c r="AD39" s="38" t="e">
        <f>'LICENCIAS Y PRODUCTOS 2025-03'!#REF!</f>
        <v>#REF!</v>
      </c>
      <c r="AE39" s="38" t="e">
        <f>'LICENCIAS Y PRODUCTOS 2025-03'!#REF!</f>
        <v>#REF!</v>
      </c>
      <c r="AF39" s="38" t="e">
        <f>'LICENCIAS Y PRODUCTOS 2025-03'!#REF!</f>
        <v>#REF!</v>
      </c>
      <c r="AG39" s="38" t="e">
        <f>'LICENCIAS Y PRODUCTOS 2025-03'!#REF!</f>
        <v>#REF!</v>
      </c>
      <c r="AH39" s="38" t="e">
        <f>'LICENCIAS Y PRODUCTOS 2025-03'!#REF!</f>
        <v>#REF!</v>
      </c>
      <c r="AI39" s="38" t="e">
        <f>'LICENCIAS Y PRODUCTOS 2025-03'!#REF!</f>
        <v>#REF!</v>
      </c>
      <c r="AJ39" s="38" t="e">
        <f>'LICENCIAS Y PRODUCTOS 2025-03'!#REF!</f>
        <v>#REF!</v>
      </c>
      <c r="AK39" s="38"/>
      <c r="AL39" s="13" t="e">
        <f t="shared" si="2"/>
        <v>#REF!</v>
      </c>
    </row>
    <row r="40" spans="4:40" ht="20.100000000000001" customHeight="1" thickTop="1" thickBot="1">
      <c r="D40" s="21" t="s">
        <v>3</v>
      </c>
      <c r="E40" s="2" t="s">
        <v>4</v>
      </c>
      <c r="F40" s="23" t="s">
        <v>94</v>
      </c>
      <c r="G40" s="38" t="e">
        <f>'LICENCIAS Y PRODUCTOS 2025-03'!#REF!</f>
        <v>#REF!</v>
      </c>
      <c r="H40" s="38" t="e">
        <f>'LICENCIAS Y PRODUCTOS 2025-03'!#REF!</f>
        <v>#REF!</v>
      </c>
      <c r="I40" s="38" t="e">
        <f>'LICENCIAS Y PRODUCTOS 2025-03'!#REF!</f>
        <v>#REF!</v>
      </c>
      <c r="J40" s="38" t="e">
        <f>'LICENCIAS Y PRODUCTOS 2025-03'!#REF!</f>
        <v>#REF!</v>
      </c>
      <c r="K40" s="38" t="e">
        <f>'LICENCIAS Y PRODUCTOS 2025-03'!#REF!</f>
        <v>#REF!</v>
      </c>
      <c r="L40" s="38" t="e">
        <f>'LICENCIAS Y PRODUCTOS 2025-03'!#REF!</f>
        <v>#REF!</v>
      </c>
      <c r="M40" s="38" t="e">
        <f>'LICENCIAS Y PRODUCTOS 2025-03'!#REF!</f>
        <v>#REF!</v>
      </c>
      <c r="N40" s="38" t="e">
        <f>'LICENCIAS Y PRODUCTOS 2025-03'!#REF!</f>
        <v>#REF!</v>
      </c>
      <c r="O40" s="38" t="e">
        <f>'LICENCIAS Y PRODUCTOS 2025-03'!#REF!</f>
        <v>#REF!</v>
      </c>
      <c r="P40" s="38" t="e">
        <f>'LICENCIAS Y PRODUCTOS 2025-03'!#REF!</f>
        <v>#REF!</v>
      </c>
      <c r="Q40" s="38" t="e">
        <f>'LICENCIAS Y PRODUCTOS 2025-03'!#REF!</f>
        <v>#REF!</v>
      </c>
      <c r="R40" s="38" t="e">
        <f>'LICENCIAS Y PRODUCTOS 2025-03'!#REF!</f>
        <v>#REF!</v>
      </c>
      <c r="S40" s="38" t="e">
        <f>'LICENCIAS Y PRODUCTOS 2025-03'!#REF!</f>
        <v>#REF!</v>
      </c>
      <c r="T40" s="38" t="e">
        <f>'LICENCIAS Y PRODUCTOS 2025-03'!#REF!</f>
        <v>#REF!</v>
      </c>
      <c r="U40" s="38" t="e">
        <f>'LICENCIAS Y PRODUCTOS 2025-03'!#REF!</f>
        <v>#REF!</v>
      </c>
      <c r="V40" s="38" t="e">
        <f>'LICENCIAS Y PRODUCTOS 2025-03'!#REF!</f>
        <v>#REF!</v>
      </c>
      <c r="W40" s="38" t="e">
        <f>'LICENCIAS Y PRODUCTOS 2025-03'!#REF!</f>
        <v>#REF!</v>
      </c>
      <c r="X40" s="38" t="e">
        <f>'LICENCIAS Y PRODUCTOS 2025-03'!#REF!</f>
        <v>#REF!</v>
      </c>
      <c r="Y40" s="38" t="e">
        <f>'LICENCIAS Y PRODUCTOS 2025-03'!#REF!</f>
        <v>#REF!</v>
      </c>
      <c r="Z40" s="38" t="e">
        <f>'LICENCIAS Y PRODUCTOS 2025-03'!#REF!</f>
        <v>#REF!</v>
      </c>
      <c r="AA40" s="38" t="e">
        <f>'LICENCIAS Y PRODUCTOS 2025-03'!#REF!</f>
        <v>#REF!</v>
      </c>
      <c r="AB40" s="38" t="e">
        <f>'LICENCIAS Y PRODUCTOS 2025-03'!#REF!</f>
        <v>#REF!</v>
      </c>
      <c r="AC40" s="38" t="e">
        <f>'LICENCIAS Y PRODUCTOS 2025-03'!#REF!</f>
        <v>#REF!</v>
      </c>
      <c r="AD40" s="38" t="e">
        <f>'LICENCIAS Y PRODUCTOS 2025-03'!#REF!</f>
        <v>#REF!</v>
      </c>
      <c r="AE40" s="38" t="e">
        <f>'LICENCIAS Y PRODUCTOS 2025-03'!#REF!</f>
        <v>#REF!</v>
      </c>
      <c r="AF40" s="38" t="e">
        <f>'LICENCIAS Y PRODUCTOS 2025-03'!#REF!</f>
        <v>#REF!</v>
      </c>
      <c r="AG40" s="38" t="e">
        <f>'LICENCIAS Y PRODUCTOS 2025-03'!#REF!</f>
        <v>#REF!</v>
      </c>
      <c r="AH40" s="38" t="e">
        <f>'LICENCIAS Y PRODUCTOS 2025-03'!#REF!</f>
        <v>#REF!</v>
      </c>
      <c r="AI40" s="38" t="e">
        <f>'LICENCIAS Y PRODUCTOS 2025-03'!#REF!</f>
        <v>#REF!</v>
      </c>
      <c r="AJ40" s="38" t="e">
        <f>'LICENCIAS Y PRODUCTOS 2025-03'!#REF!</f>
        <v>#REF!</v>
      </c>
      <c r="AK40" s="38"/>
      <c r="AL40" s="13" t="e">
        <f t="shared" si="2"/>
        <v>#REF!</v>
      </c>
      <c r="AM40" s="28" t="e">
        <f>SUM(AL40:AL46)</f>
        <v>#REF!</v>
      </c>
      <c r="AN40" t="s">
        <v>3</v>
      </c>
    </row>
    <row r="41" spans="4:40" ht="20.100000000000001" customHeight="1" thickTop="1" thickBot="1">
      <c r="D41" s="21" t="s">
        <v>3</v>
      </c>
      <c r="E41" s="2" t="s">
        <v>125</v>
      </c>
      <c r="F41" s="23" t="s">
        <v>95</v>
      </c>
      <c r="G41" s="38" t="e">
        <f>'LICENCIAS Y PRODUCTOS 2025-03'!#REF!</f>
        <v>#REF!</v>
      </c>
      <c r="H41" s="38" t="e">
        <f>'LICENCIAS Y PRODUCTOS 2025-03'!#REF!</f>
        <v>#REF!</v>
      </c>
      <c r="I41" s="38" t="e">
        <f>'LICENCIAS Y PRODUCTOS 2025-03'!#REF!</f>
        <v>#REF!</v>
      </c>
      <c r="J41" s="38" t="e">
        <f>'LICENCIAS Y PRODUCTOS 2025-03'!#REF!</f>
        <v>#REF!</v>
      </c>
      <c r="K41" s="38" t="e">
        <f>'LICENCIAS Y PRODUCTOS 2025-03'!#REF!</f>
        <v>#REF!</v>
      </c>
      <c r="L41" s="38" t="e">
        <f>'LICENCIAS Y PRODUCTOS 2025-03'!#REF!</f>
        <v>#REF!</v>
      </c>
      <c r="M41" s="38" t="e">
        <f>'LICENCIAS Y PRODUCTOS 2025-03'!#REF!</f>
        <v>#REF!</v>
      </c>
      <c r="N41" s="38" t="e">
        <f>'LICENCIAS Y PRODUCTOS 2025-03'!#REF!</f>
        <v>#REF!</v>
      </c>
      <c r="O41" s="38" t="e">
        <f>'LICENCIAS Y PRODUCTOS 2025-03'!#REF!</f>
        <v>#REF!</v>
      </c>
      <c r="P41" s="38" t="e">
        <f>'LICENCIAS Y PRODUCTOS 2025-03'!#REF!</f>
        <v>#REF!</v>
      </c>
      <c r="Q41" s="38" t="e">
        <f>'LICENCIAS Y PRODUCTOS 2025-03'!#REF!</f>
        <v>#REF!</v>
      </c>
      <c r="R41" s="38" t="e">
        <f>'LICENCIAS Y PRODUCTOS 2025-03'!#REF!</f>
        <v>#REF!</v>
      </c>
      <c r="S41" s="38" t="e">
        <f>'LICENCIAS Y PRODUCTOS 2025-03'!#REF!</f>
        <v>#REF!</v>
      </c>
      <c r="T41" s="38" t="e">
        <f>'LICENCIAS Y PRODUCTOS 2025-03'!#REF!</f>
        <v>#REF!</v>
      </c>
      <c r="U41" s="38" t="e">
        <f>'LICENCIAS Y PRODUCTOS 2025-03'!#REF!</f>
        <v>#REF!</v>
      </c>
      <c r="V41" s="38" t="e">
        <f>'LICENCIAS Y PRODUCTOS 2025-03'!#REF!</f>
        <v>#REF!</v>
      </c>
      <c r="W41" s="38" t="e">
        <f>'LICENCIAS Y PRODUCTOS 2025-03'!#REF!</f>
        <v>#REF!</v>
      </c>
      <c r="X41" s="38" t="e">
        <f>'LICENCIAS Y PRODUCTOS 2025-03'!#REF!</f>
        <v>#REF!</v>
      </c>
      <c r="Y41" s="38" t="e">
        <f>'LICENCIAS Y PRODUCTOS 2025-03'!#REF!</f>
        <v>#REF!</v>
      </c>
      <c r="Z41" s="38" t="e">
        <f>'LICENCIAS Y PRODUCTOS 2025-03'!#REF!</f>
        <v>#REF!</v>
      </c>
      <c r="AA41" s="38" t="e">
        <f>'LICENCIAS Y PRODUCTOS 2025-03'!#REF!</f>
        <v>#REF!</v>
      </c>
      <c r="AB41" s="38" t="e">
        <f>'LICENCIAS Y PRODUCTOS 2025-03'!#REF!</f>
        <v>#REF!</v>
      </c>
      <c r="AC41" s="38" t="e">
        <f>'LICENCIAS Y PRODUCTOS 2025-03'!#REF!</f>
        <v>#REF!</v>
      </c>
      <c r="AD41" s="38" t="e">
        <f>'LICENCIAS Y PRODUCTOS 2025-03'!#REF!</f>
        <v>#REF!</v>
      </c>
      <c r="AE41" s="38" t="e">
        <f>'LICENCIAS Y PRODUCTOS 2025-03'!#REF!</f>
        <v>#REF!</v>
      </c>
      <c r="AF41" s="38" t="e">
        <f>'LICENCIAS Y PRODUCTOS 2025-03'!#REF!</f>
        <v>#REF!</v>
      </c>
      <c r="AG41" s="38" t="e">
        <f>'LICENCIAS Y PRODUCTOS 2025-03'!#REF!</f>
        <v>#REF!</v>
      </c>
      <c r="AH41" s="38" t="e">
        <f>'LICENCIAS Y PRODUCTOS 2025-03'!#REF!</f>
        <v>#REF!</v>
      </c>
      <c r="AI41" s="38" t="e">
        <f>'LICENCIAS Y PRODUCTOS 2025-03'!#REF!</f>
        <v>#REF!</v>
      </c>
      <c r="AJ41" s="38" t="e">
        <f>'LICENCIAS Y PRODUCTOS 2025-03'!#REF!</f>
        <v>#REF!</v>
      </c>
      <c r="AK41" s="38"/>
      <c r="AL41" s="13" t="e">
        <f t="shared" si="2"/>
        <v>#REF!</v>
      </c>
    </row>
    <row r="42" spans="4:40" ht="20.100000000000001" customHeight="1" thickTop="1" thickBot="1">
      <c r="D42" s="21" t="s">
        <v>3</v>
      </c>
      <c r="E42" s="2" t="s">
        <v>126</v>
      </c>
      <c r="F42" s="23" t="s">
        <v>96</v>
      </c>
      <c r="G42" s="38" t="e">
        <f>'LICENCIAS Y PRODUCTOS 2025-03'!#REF!</f>
        <v>#REF!</v>
      </c>
      <c r="H42" s="38" t="e">
        <f>'LICENCIAS Y PRODUCTOS 2025-03'!#REF!</f>
        <v>#REF!</v>
      </c>
      <c r="I42" s="38" t="e">
        <f>'LICENCIAS Y PRODUCTOS 2025-03'!#REF!</f>
        <v>#REF!</v>
      </c>
      <c r="J42" s="38" t="e">
        <f>'LICENCIAS Y PRODUCTOS 2025-03'!#REF!</f>
        <v>#REF!</v>
      </c>
      <c r="K42" s="38" t="e">
        <f>'LICENCIAS Y PRODUCTOS 2025-03'!#REF!</f>
        <v>#REF!</v>
      </c>
      <c r="L42" s="38" t="e">
        <f>'LICENCIAS Y PRODUCTOS 2025-03'!#REF!</f>
        <v>#REF!</v>
      </c>
      <c r="M42" s="38" t="e">
        <f>'LICENCIAS Y PRODUCTOS 2025-03'!#REF!</f>
        <v>#REF!</v>
      </c>
      <c r="N42" s="38" t="e">
        <f>'LICENCIAS Y PRODUCTOS 2025-03'!#REF!</f>
        <v>#REF!</v>
      </c>
      <c r="O42" s="38" t="e">
        <f>'LICENCIAS Y PRODUCTOS 2025-03'!#REF!</f>
        <v>#REF!</v>
      </c>
      <c r="P42" s="38" t="e">
        <f>'LICENCIAS Y PRODUCTOS 2025-03'!#REF!</f>
        <v>#REF!</v>
      </c>
      <c r="Q42" s="38" t="e">
        <f>'LICENCIAS Y PRODUCTOS 2025-03'!#REF!</f>
        <v>#REF!</v>
      </c>
      <c r="R42" s="38" t="e">
        <f>'LICENCIAS Y PRODUCTOS 2025-03'!#REF!</f>
        <v>#REF!</v>
      </c>
      <c r="S42" s="38" t="e">
        <f>'LICENCIAS Y PRODUCTOS 2025-03'!#REF!</f>
        <v>#REF!</v>
      </c>
      <c r="T42" s="38" t="e">
        <f>'LICENCIAS Y PRODUCTOS 2025-03'!#REF!</f>
        <v>#REF!</v>
      </c>
      <c r="U42" s="38" t="e">
        <f>'LICENCIAS Y PRODUCTOS 2025-03'!#REF!</f>
        <v>#REF!</v>
      </c>
      <c r="V42" s="38" t="e">
        <f>'LICENCIAS Y PRODUCTOS 2025-03'!#REF!</f>
        <v>#REF!</v>
      </c>
      <c r="W42" s="38" t="e">
        <f>'LICENCIAS Y PRODUCTOS 2025-03'!#REF!</f>
        <v>#REF!</v>
      </c>
      <c r="X42" s="38" t="e">
        <f>'LICENCIAS Y PRODUCTOS 2025-03'!#REF!</f>
        <v>#REF!</v>
      </c>
      <c r="Y42" s="38" t="e">
        <f>'LICENCIAS Y PRODUCTOS 2025-03'!#REF!</f>
        <v>#REF!</v>
      </c>
      <c r="Z42" s="38" t="e">
        <f>'LICENCIAS Y PRODUCTOS 2025-03'!#REF!</f>
        <v>#REF!</v>
      </c>
      <c r="AA42" s="38" t="e">
        <f>'LICENCIAS Y PRODUCTOS 2025-03'!#REF!</f>
        <v>#REF!</v>
      </c>
      <c r="AB42" s="38" t="e">
        <f>'LICENCIAS Y PRODUCTOS 2025-03'!#REF!</f>
        <v>#REF!</v>
      </c>
      <c r="AC42" s="38" t="e">
        <f>'LICENCIAS Y PRODUCTOS 2025-03'!#REF!</f>
        <v>#REF!</v>
      </c>
      <c r="AD42" s="38" t="e">
        <f>'LICENCIAS Y PRODUCTOS 2025-03'!#REF!</f>
        <v>#REF!</v>
      </c>
      <c r="AE42" s="38" t="e">
        <f>'LICENCIAS Y PRODUCTOS 2025-03'!#REF!</f>
        <v>#REF!</v>
      </c>
      <c r="AF42" s="38" t="e">
        <f>'LICENCIAS Y PRODUCTOS 2025-03'!#REF!</f>
        <v>#REF!</v>
      </c>
      <c r="AG42" s="38" t="e">
        <f>'LICENCIAS Y PRODUCTOS 2025-03'!#REF!</f>
        <v>#REF!</v>
      </c>
      <c r="AH42" s="38" t="e">
        <f>'LICENCIAS Y PRODUCTOS 2025-03'!#REF!</f>
        <v>#REF!</v>
      </c>
      <c r="AI42" s="38" t="e">
        <f>'LICENCIAS Y PRODUCTOS 2025-03'!#REF!</f>
        <v>#REF!</v>
      </c>
      <c r="AJ42" s="38" t="e">
        <f>'LICENCIAS Y PRODUCTOS 2025-03'!#REF!</f>
        <v>#REF!</v>
      </c>
      <c r="AK42" s="38"/>
      <c r="AL42" s="13" t="e">
        <f t="shared" ref="AL42:AL49" si="3">SUM(G42:AK42)</f>
        <v>#REF!</v>
      </c>
    </row>
    <row r="43" spans="4:40" ht="20.100000000000001" customHeight="1" thickTop="1" thickBot="1">
      <c r="D43" s="21" t="s">
        <v>3</v>
      </c>
      <c r="E43" s="2" t="s">
        <v>6</v>
      </c>
      <c r="F43" s="23" t="s">
        <v>97</v>
      </c>
      <c r="G43" s="38" t="e">
        <f>'LICENCIAS Y PRODUCTOS 2025-03'!#REF!</f>
        <v>#REF!</v>
      </c>
      <c r="H43" s="38" t="e">
        <f>'LICENCIAS Y PRODUCTOS 2025-03'!#REF!</f>
        <v>#REF!</v>
      </c>
      <c r="I43" s="38" t="e">
        <f>'LICENCIAS Y PRODUCTOS 2025-03'!#REF!</f>
        <v>#REF!</v>
      </c>
      <c r="J43" s="38" t="e">
        <f>'LICENCIAS Y PRODUCTOS 2025-03'!#REF!</f>
        <v>#REF!</v>
      </c>
      <c r="K43" s="38" t="e">
        <f>'LICENCIAS Y PRODUCTOS 2025-03'!#REF!</f>
        <v>#REF!</v>
      </c>
      <c r="L43" s="38" t="e">
        <f>'LICENCIAS Y PRODUCTOS 2025-03'!#REF!</f>
        <v>#REF!</v>
      </c>
      <c r="M43" s="38" t="e">
        <f>'LICENCIAS Y PRODUCTOS 2025-03'!#REF!</f>
        <v>#REF!</v>
      </c>
      <c r="N43" s="38" t="e">
        <f>'LICENCIAS Y PRODUCTOS 2025-03'!#REF!</f>
        <v>#REF!</v>
      </c>
      <c r="O43" s="38" t="e">
        <f>'LICENCIAS Y PRODUCTOS 2025-03'!#REF!</f>
        <v>#REF!</v>
      </c>
      <c r="P43" s="38" t="e">
        <f>'LICENCIAS Y PRODUCTOS 2025-03'!#REF!</f>
        <v>#REF!</v>
      </c>
      <c r="Q43" s="38" t="e">
        <f>'LICENCIAS Y PRODUCTOS 2025-03'!#REF!</f>
        <v>#REF!</v>
      </c>
      <c r="R43" s="38" t="e">
        <f>'LICENCIAS Y PRODUCTOS 2025-03'!#REF!</f>
        <v>#REF!</v>
      </c>
      <c r="S43" s="38" t="e">
        <f>'LICENCIAS Y PRODUCTOS 2025-03'!#REF!</f>
        <v>#REF!</v>
      </c>
      <c r="T43" s="38" t="e">
        <f>'LICENCIAS Y PRODUCTOS 2025-03'!#REF!</f>
        <v>#REF!</v>
      </c>
      <c r="U43" s="38" t="e">
        <f>'LICENCIAS Y PRODUCTOS 2025-03'!#REF!</f>
        <v>#REF!</v>
      </c>
      <c r="V43" s="38" t="e">
        <f>'LICENCIAS Y PRODUCTOS 2025-03'!#REF!</f>
        <v>#REF!</v>
      </c>
      <c r="W43" s="38" t="e">
        <f>'LICENCIAS Y PRODUCTOS 2025-03'!#REF!</f>
        <v>#REF!</v>
      </c>
      <c r="X43" s="38" t="e">
        <f>'LICENCIAS Y PRODUCTOS 2025-03'!#REF!</f>
        <v>#REF!</v>
      </c>
      <c r="Y43" s="38" t="e">
        <f>'LICENCIAS Y PRODUCTOS 2025-03'!#REF!</f>
        <v>#REF!</v>
      </c>
      <c r="Z43" s="38" t="e">
        <f>'LICENCIAS Y PRODUCTOS 2025-03'!#REF!</f>
        <v>#REF!</v>
      </c>
      <c r="AA43" s="38" t="e">
        <f>'LICENCIAS Y PRODUCTOS 2025-03'!#REF!</f>
        <v>#REF!</v>
      </c>
      <c r="AB43" s="38" t="e">
        <f>'LICENCIAS Y PRODUCTOS 2025-03'!#REF!</f>
        <v>#REF!</v>
      </c>
      <c r="AC43" s="38" t="e">
        <f>'LICENCIAS Y PRODUCTOS 2025-03'!#REF!</f>
        <v>#REF!</v>
      </c>
      <c r="AD43" s="38" t="e">
        <f>'LICENCIAS Y PRODUCTOS 2025-03'!#REF!</f>
        <v>#REF!</v>
      </c>
      <c r="AE43" s="38" t="e">
        <f>'LICENCIAS Y PRODUCTOS 2025-03'!#REF!</f>
        <v>#REF!</v>
      </c>
      <c r="AF43" s="38" t="e">
        <f>'LICENCIAS Y PRODUCTOS 2025-03'!#REF!</f>
        <v>#REF!</v>
      </c>
      <c r="AG43" s="38" t="e">
        <f>'LICENCIAS Y PRODUCTOS 2025-03'!#REF!</f>
        <v>#REF!</v>
      </c>
      <c r="AH43" s="38" t="e">
        <f>'LICENCIAS Y PRODUCTOS 2025-03'!#REF!</f>
        <v>#REF!</v>
      </c>
      <c r="AI43" s="38" t="e">
        <f>'LICENCIAS Y PRODUCTOS 2025-03'!#REF!</f>
        <v>#REF!</v>
      </c>
      <c r="AJ43" s="38" t="e">
        <f>'LICENCIAS Y PRODUCTOS 2025-03'!#REF!</f>
        <v>#REF!</v>
      </c>
      <c r="AK43" s="38"/>
      <c r="AL43" s="13" t="e">
        <f t="shared" si="3"/>
        <v>#REF!</v>
      </c>
    </row>
    <row r="44" spans="4:40" ht="20.100000000000001" customHeight="1" thickTop="1" thickBot="1">
      <c r="D44" s="21" t="s">
        <v>3</v>
      </c>
      <c r="E44" s="2" t="s">
        <v>7</v>
      </c>
      <c r="F44" s="23" t="s">
        <v>98</v>
      </c>
      <c r="G44" s="38" t="e">
        <f>'LICENCIAS Y PRODUCTOS 2025-03'!#REF!</f>
        <v>#REF!</v>
      </c>
      <c r="H44" s="38" t="e">
        <f>'LICENCIAS Y PRODUCTOS 2025-03'!#REF!</f>
        <v>#REF!</v>
      </c>
      <c r="I44" s="38" t="e">
        <f>'LICENCIAS Y PRODUCTOS 2025-03'!#REF!</f>
        <v>#REF!</v>
      </c>
      <c r="J44" s="38" t="e">
        <f>'LICENCIAS Y PRODUCTOS 2025-03'!#REF!</f>
        <v>#REF!</v>
      </c>
      <c r="K44" s="38" t="e">
        <f>'LICENCIAS Y PRODUCTOS 2025-03'!#REF!</f>
        <v>#REF!</v>
      </c>
      <c r="L44" s="38" t="e">
        <f>'LICENCIAS Y PRODUCTOS 2025-03'!#REF!</f>
        <v>#REF!</v>
      </c>
      <c r="M44" s="38" t="e">
        <f>'LICENCIAS Y PRODUCTOS 2025-03'!#REF!</f>
        <v>#REF!</v>
      </c>
      <c r="N44" s="38" t="e">
        <f>'LICENCIAS Y PRODUCTOS 2025-03'!#REF!</f>
        <v>#REF!</v>
      </c>
      <c r="O44" s="38" t="e">
        <f>'LICENCIAS Y PRODUCTOS 2025-03'!#REF!</f>
        <v>#REF!</v>
      </c>
      <c r="P44" s="38" t="e">
        <f>'LICENCIAS Y PRODUCTOS 2025-03'!#REF!</f>
        <v>#REF!</v>
      </c>
      <c r="Q44" s="38" t="e">
        <f>'LICENCIAS Y PRODUCTOS 2025-03'!#REF!</f>
        <v>#REF!</v>
      </c>
      <c r="R44" s="38" t="e">
        <f>'LICENCIAS Y PRODUCTOS 2025-03'!#REF!</f>
        <v>#REF!</v>
      </c>
      <c r="S44" s="38" t="e">
        <f>'LICENCIAS Y PRODUCTOS 2025-03'!#REF!</f>
        <v>#REF!</v>
      </c>
      <c r="T44" s="38" t="e">
        <f>'LICENCIAS Y PRODUCTOS 2025-03'!#REF!</f>
        <v>#REF!</v>
      </c>
      <c r="U44" s="38" t="e">
        <f>'LICENCIAS Y PRODUCTOS 2025-03'!#REF!</f>
        <v>#REF!</v>
      </c>
      <c r="V44" s="38" t="e">
        <f>'LICENCIAS Y PRODUCTOS 2025-03'!#REF!</f>
        <v>#REF!</v>
      </c>
      <c r="W44" s="38" t="e">
        <f>'LICENCIAS Y PRODUCTOS 2025-03'!#REF!</f>
        <v>#REF!</v>
      </c>
      <c r="X44" s="38" t="e">
        <f>'LICENCIAS Y PRODUCTOS 2025-03'!#REF!</f>
        <v>#REF!</v>
      </c>
      <c r="Y44" s="38" t="e">
        <f>'LICENCIAS Y PRODUCTOS 2025-03'!#REF!</f>
        <v>#REF!</v>
      </c>
      <c r="Z44" s="38" t="e">
        <f>'LICENCIAS Y PRODUCTOS 2025-03'!#REF!</f>
        <v>#REF!</v>
      </c>
      <c r="AA44" s="38" t="e">
        <f>'LICENCIAS Y PRODUCTOS 2025-03'!#REF!</f>
        <v>#REF!</v>
      </c>
      <c r="AB44" s="38" t="e">
        <f>'LICENCIAS Y PRODUCTOS 2025-03'!#REF!</f>
        <v>#REF!</v>
      </c>
      <c r="AC44" s="38" t="e">
        <f>'LICENCIAS Y PRODUCTOS 2025-03'!#REF!</f>
        <v>#REF!</v>
      </c>
      <c r="AD44" s="38" t="e">
        <f>'LICENCIAS Y PRODUCTOS 2025-03'!#REF!</f>
        <v>#REF!</v>
      </c>
      <c r="AE44" s="38" t="e">
        <f>'LICENCIAS Y PRODUCTOS 2025-03'!#REF!</f>
        <v>#REF!</v>
      </c>
      <c r="AF44" s="38" t="e">
        <f>'LICENCIAS Y PRODUCTOS 2025-03'!#REF!</f>
        <v>#REF!</v>
      </c>
      <c r="AG44" s="38" t="e">
        <f>'LICENCIAS Y PRODUCTOS 2025-03'!#REF!</f>
        <v>#REF!</v>
      </c>
      <c r="AH44" s="38" t="e">
        <f>'LICENCIAS Y PRODUCTOS 2025-03'!#REF!</f>
        <v>#REF!</v>
      </c>
      <c r="AI44" s="38" t="e">
        <f>'LICENCIAS Y PRODUCTOS 2025-03'!#REF!</f>
        <v>#REF!</v>
      </c>
      <c r="AJ44" s="38" t="e">
        <f>'LICENCIAS Y PRODUCTOS 2025-03'!#REF!</f>
        <v>#REF!</v>
      </c>
      <c r="AK44" s="38"/>
      <c r="AL44" s="13" t="e">
        <f t="shared" si="3"/>
        <v>#REF!</v>
      </c>
    </row>
    <row r="45" spans="4:40" ht="20.100000000000001" customHeight="1" thickTop="1" thickBot="1">
      <c r="D45" s="21" t="s">
        <v>3</v>
      </c>
      <c r="E45" s="2" t="s">
        <v>8</v>
      </c>
      <c r="F45" s="23" t="s">
        <v>99</v>
      </c>
      <c r="G45" s="38" t="e">
        <f>'LICENCIAS Y PRODUCTOS 2025-03'!#REF!</f>
        <v>#REF!</v>
      </c>
      <c r="H45" s="38" t="e">
        <f>'LICENCIAS Y PRODUCTOS 2025-03'!#REF!</f>
        <v>#REF!</v>
      </c>
      <c r="I45" s="38" t="e">
        <f>'LICENCIAS Y PRODUCTOS 2025-03'!#REF!</f>
        <v>#REF!</v>
      </c>
      <c r="J45" s="38" t="e">
        <f>'LICENCIAS Y PRODUCTOS 2025-03'!#REF!</f>
        <v>#REF!</v>
      </c>
      <c r="K45" s="38" t="e">
        <f>'LICENCIAS Y PRODUCTOS 2025-03'!#REF!</f>
        <v>#REF!</v>
      </c>
      <c r="L45" s="38" t="e">
        <f>'LICENCIAS Y PRODUCTOS 2025-03'!#REF!</f>
        <v>#REF!</v>
      </c>
      <c r="M45" s="38" t="e">
        <f>'LICENCIAS Y PRODUCTOS 2025-03'!#REF!</f>
        <v>#REF!</v>
      </c>
      <c r="N45" s="38" t="e">
        <f>'LICENCIAS Y PRODUCTOS 2025-03'!#REF!</f>
        <v>#REF!</v>
      </c>
      <c r="O45" s="38" t="e">
        <f>'LICENCIAS Y PRODUCTOS 2025-03'!#REF!</f>
        <v>#REF!</v>
      </c>
      <c r="P45" s="38" t="e">
        <f>'LICENCIAS Y PRODUCTOS 2025-03'!#REF!</f>
        <v>#REF!</v>
      </c>
      <c r="Q45" s="38" t="e">
        <f>'LICENCIAS Y PRODUCTOS 2025-03'!#REF!</f>
        <v>#REF!</v>
      </c>
      <c r="R45" s="38" t="e">
        <f>'LICENCIAS Y PRODUCTOS 2025-03'!#REF!</f>
        <v>#REF!</v>
      </c>
      <c r="S45" s="38" t="e">
        <f>'LICENCIAS Y PRODUCTOS 2025-03'!#REF!</f>
        <v>#REF!</v>
      </c>
      <c r="T45" s="38" t="e">
        <f>'LICENCIAS Y PRODUCTOS 2025-03'!#REF!</f>
        <v>#REF!</v>
      </c>
      <c r="U45" s="38" t="e">
        <f>'LICENCIAS Y PRODUCTOS 2025-03'!#REF!</f>
        <v>#REF!</v>
      </c>
      <c r="V45" s="38" t="e">
        <f>'LICENCIAS Y PRODUCTOS 2025-03'!#REF!</f>
        <v>#REF!</v>
      </c>
      <c r="W45" s="38" t="e">
        <f>'LICENCIAS Y PRODUCTOS 2025-03'!#REF!</f>
        <v>#REF!</v>
      </c>
      <c r="X45" s="38" t="e">
        <f>'LICENCIAS Y PRODUCTOS 2025-03'!#REF!</f>
        <v>#REF!</v>
      </c>
      <c r="Y45" s="38" t="e">
        <f>'LICENCIAS Y PRODUCTOS 2025-03'!#REF!</f>
        <v>#REF!</v>
      </c>
      <c r="Z45" s="38" t="e">
        <f>'LICENCIAS Y PRODUCTOS 2025-03'!#REF!</f>
        <v>#REF!</v>
      </c>
      <c r="AA45" s="38" t="e">
        <f>'LICENCIAS Y PRODUCTOS 2025-03'!#REF!</f>
        <v>#REF!</v>
      </c>
      <c r="AB45" s="38" t="e">
        <f>'LICENCIAS Y PRODUCTOS 2025-03'!#REF!</f>
        <v>#REF!</v>
      </c>
      <c r="AC45" s="38" t="e">
        <f>'LICENCIAS Y PRODUCTOS 2025-03'!#REF!</f>
        <v>#REF!</v>
      </c>
      <c r="AD45" s="38" t="e">
        <f>'LICENCIAS Y PRODUCTOS 2025-03'!#REF!</f>
        <v>#REF!</v>
      </c>
      <c r="AE45" s="38" t="e">
        <f>'LICENCIAS Y PRODUCTOS 2025-03'!#REF!</f>
        <v>#REF!</v>
      </c>
      <c r="AF45" s="38" t="e">
        <f>'LICENCIAS Y PRODUCTOS 2025-03'!#REF!</f>
        <v>#REF!</v>
      </c>
      <c r="AG45" s="38" t="e">
        <f>'LICENCIAS Y PRODUCTOS 2025-03'!#REF!</f>
        <v>#REF!</v>
      </c>
      <c r="AH45" s="38" t="e">
        <f>'LICENCIAS Y PRODUCTOS 2025-03'!#REF!</f>
        <v>#REF!</v>
      </c>
      <c r="AI45" s="38" t="e">
        <f>'LICENCIAS Y PRODUCTOS 2025-03'!#REF!</f>
        <v>#REF!</v>
      </c>
      <c r="AJ45" s="38" t="e">
        <f>'LICENCIAS Y PRODUCTOS 2025-03'!#REF!</f>
        <v>#REF!</v>
      </c>
      <c r="AK45" s="38"/>
      <c r="AL45" s="13" t="e">
        <f t="shared" si="3"/>
        <v>#REF!</v>
      </c>
    </row>
    <row r="46" spans="4:40" ht="20.100000000000001" customHeight="1" thickTop="1" thickBot="1">
      <c r="D46" s="21" t="s">
        <v>3</v>
      </c>
      <c r="E46" s="24" t="s">
        <v>124</v>
      </c>
      <c r="F46" s="25" t="s">
        <v>116</v>
      </c>
      <c r="G46" s="38" t="e">
        <f>'LICENCIAS Y PRODUCTOS 2025-03'!#REF!</f>
        <v>#REF!</v>
      </c>
      <c r="H46" s="38" t="e">
        <f>'LICENCIAS Y PRODUCTOS 2025-03'!#REF!</f>
        <v>#REF!</v>
      </c>
      <c r="I46" s="38" t="e">
        <f>'LICENCIAS Y PRODUCTOS 2025-03'!#REF!</f>
        <v>#REF!</v>
      </c>
      <c r="J46" s="38" t="e">
        <f>'LICENCIAS Y PRODUCTOS 2025-03'!#REF!</f>
        <v>#REF!</v>
      </c>
      <c r="K46" s="38" t="e">
        <f>'LICENCIAS Y PRODUCTOS 2025-03'!#REF!</f>
        <v>#REF!</v>
      </c>
      <c r="L46" s="38" t="e">
        <f>'LICENCIAS Y PRODUCTOS 2025-03'!#REF!</f>
        <v>#REF!</v>
      </c>
      <c r="M46" s="38" t="e">
        <f>'LICENCIAS Y PRODUCTOS 2025-03'!#REF!</f>
        <v>#REF!</v>
      </c>
      <c r="N46" s="38" t="e">
        <f>'LICENCIAS Y PRODUCTOS 2025-03'!#REF!</f>
        <v>#REF!</v>
      </c>
      <c r="O46" s="38" t="e">
        <f>'LICENCIAS Y PRODUCTOS 2025-03'!#REF!</f>
        <v>#REF!</v>
      </c>
      <c r="P46" s="38" t="e">
        <f>'LICENCIAS Y PRODUCTOS 2025-03'!#REF!</f>
        <v>#REF!</v>
      </c>
      <c r="Q46" s="38" t="e">
        <f>'LICENCIAS Y PRODUCTOS 2025-03'!#REF!</f>
        <v>#REF!</v>
      </c>
      <c r="R46" s="38" t="e">
        <f>'LICENCIAS Y PRODUCTOS 2025-03'!#REF!</f>
        <v>#REF!</v>
      </c>
      <c r="S46" s="38" t="e">
        <f>'LICENCIAS Y PRODUCTOS 2025-03'!#REF!</f>
        <v>#REF!</v>
      </c>
      <c r="T46" s="38" t="e">
        <f>'LICENCIAS Y PRODUCTOS 2025-03'!#REF!</f>
        <v>#REF!</v>
      </c>
      <c r="U46" s="38" t="e">
        <f>'LICENCIAS Y PRODUCTOS 2025-03'!#REF!</f>
        <v>#REF!</v>
      </c>
      <c r="V46" s="38" t="e">
        <f>'LICENCIAS Y PRODUCTOS 2025-03'!#REF!</f>
        <v>#REF!</v>
      </c>
      <c r="W46" s="38" t="e">
        <f>'LICENCIAS Y PRODUCTOS 2025-03'!#REF!</f>
        <v>#REF!</v>
      </c>
      <c r="X46" s="38" t="e">
        <f>'LICENCIAS Y PRODUCTOS 2025-03'!#REF!</f>
        <v>#REF!</v>
      </c>
      <c r="Y46" s="38" t="e">
        <f>'LICENCIAS Y PRODUCTOS 2025-03'!#REF!</f>
        <v>#REF!</v>
      </c>
      <c r="Z46" s="38" t="e">
        <f>'LICENCIAS Y PRODUCTOS 2025-03'!#REF!</f>
        <v>#REF!</v>
      </c>
      <c r="AA46" s="38" t="e">
        <f>'LICENCIAS Y PRODUCTOS 2025-03'!#REF!</f>
        <v>#REF!</v>
      </c>
      <c r="AB46" s="38" t="e">
        <f>'LICENCIAS Y PRODUCTOS 2025-03'!#REF!</f>
        <v>#REF!</v>
      </c>
      <c r="AC46" s="38" t="e">
        <f>'LICENCIAS Y PRODUCTOS 2025-03'!#REF!</f>
        <v>#REF!</v>
      </c>
      <c r="AD46" s="38" t="e">
        <f>'LICENCIAS Y PRODUCTOS 2025-03'!#REF!</f>
        <v>#REF!</v>
      </c>
      <c r="AE46" s="38" t="e">
        <f>'LICENCIAS Y PRODUCTOS 2025-03'!#REF!</f>
        <v>#REF!</v>
      </c>
      <c r="AF46" s="38" t="e">
        <f>'LICENCIAS Y PRODUCTOS 2025-03'!#REF!</f>
        <v>#REF!</v>
      </c>
      <c r="AG46" s="38" t="e">
        <f>'LICENCIAS Y PRODUCTOS 2025-03'!#REF!</f>
        <v>#REF!</v>
      </c>
      <c r="AH46" s="38" t="e">
        <f>'LICENCIAS Y PRODUCTOS 2025-03'!#REF!</f>
        <v>#REF!</v>
      </c>
      <c r="AI46" s="38" t="e">
        <f>'LICENCIAS Y PRODUCTOS 2025-03'!#REF!</f>
        <v>#REF!</v>
      </c>
      <c r="AJ46" s="38" t="e">
        <f>'LICENCIAS Y PRODUCTOS 2025-03'!#REF!</f>
        <v>#REF!</v>
      </c>
      <c r="AK46" s="38"/>
      <c r="AL46" s="13" t="e">
        <f t="shared" si="3"/>
        <v>#REF!</v>
      </c>
    </row>
    <row r="47" spans="4:40" ht="20.100000000000001" customHeight="1" thickTop="1" thickBot="1">
      <c r="D47" s="21" t="s">
        <v>9</v>
      </c>
      <c r="E47" s="2" t="s">
        <v>10</v>
      </c>
      <c r="F47" s="23" t="s">
        <v>100</v>
      </c>
      <c r="G47" s="38" t="e">
        <f>'LICENCIAS Y PRODUCTOS 2025-03'!#REF!</f>
        <v>#REF!</v>
      </c>
      <c r="H47" s="38" t="e">
        <f>'LICENCIAS Y PRODUCTOS 2025-03'!#REF!</f>
        <v>#REF!</v>
      </c>
      <c r="I47" s="38" t="e">
        <f>'LICENCIAS Y PRODUCTOS 2025-03'!#REF!</f>
        <v>#REF!</v>
      </c>
      <c r="J47" s="38" t="e">
        <f>'LICENCIAS Y PRODUCTOS 2025-03'!#REF!</f>
        <v>#REF!</v>
      </c>
      <c r="K47" s="38" t="e">
        <f>'LICENCIAS Y PRODUCTOS 2025-03'!#REF!</f>
        <v>#REF!</v>
      </c>
      <c r="L47" s="38" t="e">
        <f>'LICENCIAS Y PRODUCTOS 2025-03'!#REF!</f>
        <v>#REF!</v>
      </c>
      <c r="M47" s="38" t="e">
        <f>'LICENCIAS Y PRODUCTOS 2025-03'!#REF!</f>
        <v>#REF!</v>
      </c>
      <c r="N47" s="38" t="e">
        <f>'LICENCIAS Y PRODUCTOS 2025-03'!#REF!</f>
        <v>#REF!</v>
      </c>
      <c r="O47" s="38" t="e">
        <f>'LICENCIAS Y PRODUCTOS 2025-03'!#REF!</f>
        <v>#REF!</v>
      </c>
      <c r="P47" s="38" t="e">
        <f>'LICENCIAS Y PRODUCTOS 2025-03'!#REF!</f>
        <v>#REF!</v>
      </c>
      <c r="Q47" s="38" t="e">
        <f>'LICENCIAS Y PRODUCTOS 2025-03'!#REF!</f>
        <v>#REF!</v>
      </c>
      <c r="R47" s="38" t="e">
        <f>'LICENCIAS Y PRODUCTOS 2025-03'!#REF!</f>
        <v>#REF!</v>
      </c>
      <c r="S47" s="38" t="e">
        <f>'LICENCIAS Y PRODUCTOS 2025-03'!#REF!</f>
        <v>#REF!</v>
      </c>
      <c r="T47" s="38" t="e">
        <f>'LICENCIAS Y PRODUCTOS 2025-03'!#REF!</f>
        <v>#REF!</v>
      </c>
      <c r="U47" s="38" t="e">
        <f>'LICENCIAS Y PRODUCTOS 2025-03'!#REF!</f>
        <v>#REF!</v>
      </c>
      <c r="V47" s="38" t="e">
        <f>'LICENCIAS Y PRODUCTOS 2025-03'!#REF!</f>
        <v>#REF!</v>
      </c>
      <c r="W47" s="38" t="e">
        <f>'LICENCIAS Y PRODUCTOS 2025-03'!#REF!</f>
        <v>#REF!</v>
      </c>
      <c r="X47" s="38" t="e">
        <f>'LICENCIAS Y PRODUCTOS 2025-03'!#REF!</f>
        <v>#REF!</v>
      </c>
      <c r="Y47" s="38" t="e">
        <f>'LICENCIAS Y PRODUCTOS 2025-03'!#REF!</f>
        <v>#REF!</v>
      </c>
      <c r="Z47" s="38" t="e">
        <f>'LICENCIAS Y PRODUCTOS 2025-03'!#REF!</f>
        <v>#REF!</v>
      </c>
      <c r="AA47" s="38" t="e">
        <f>'LICENCIAS Y PRODUCTOS 2025-03'!#REF!</f>
        <v>#REF!</v>
      </c>
      <c r="AB47" s="38" t="e">
        <f>'LICENCIAS Y PRODUCTOS 2025-03'!#REF!</f>
        <v>#REF!</v>
      </c>
      <c r="AC47" s="38" t="e">
        <f>'LICENCIAS Y PRODUCTOS 2025-03'!#REF!</f>
        <v>#REF!</v>
      </c>
      <c r="AD47" s="38" t="e">
        <f>'LICENCIAS Y PRODUCTOS 2025-03'!#REF!</f>
        <v>#REF!</v>
      </c>
      <c r="AE47" s="38" t="e">
        <f>'LICENCIAS Y PRODUCTOS 2025-03'!#REF!</f>
        <v>#REF!</v>
      </c>
      <c r="AF47" s="38" t="e">
        <f>'LICENCIAS Y PRODUCTOS 2025-03'!#REF!</f>
        <v>#REF!</v>
      </c>
      <c r="AG47" s="38" t="e">
        <f>'LICENCIAS Y PRODUCTOS 2025-03'!#REF!</f>
        <v>#REF!</v>
      </c>
      <c r="AH47" s="38" t="e">
        <f>'LICENCIAS Y PRODUCTOS 2025-03'!#REF!</f>
        <v>#REF!</v>
      </c>
      <c r="AI47" s="38" t="e">
        <f>'LICENCIAS Y PRODUCTOS 2025-03'!#REF!</f>
        <v>#REF!</v>
      </c>
      <c r="AJ47" s="38" t="e">
        <f>'LICENCIAS Y PRODUCTOS 2025-03'!#REF!</f>
        <v>#REF!</v>
      </c>
      <c r="AK47" s="38"/>
      <c r="AL47" s="13" t="e">
        <f t="shared" si="3"/>
        <v>#REF!</v>
      </c>
      <c r="AM47" s="28" t="e">
        <f>SUM(AL47:AL48)</f>
        <v>#REF!</v>
      </c>
      <c r="AN47" t="s">
        <v>9</v>
      </c>
    </row>
    <row r="48" spans="4:40" ht="20.100000000000001" customHeight="1" thickTop="1" thickBot="1">
      <c r="D48" s="21" t="s">
        <v>9</v>
      </c>
      <c r="E48" s="2" t="s">
        <v>11</v>
      </c>
      <c r="F48" s="23" t="s">
        <v>101</v>
      </c>
      <c r="G48" s="38" t="e">
        <f>'LICENCIAS Y PRODUCTOS 2025-03'!#REF!</f>
        <v>#REF!</v>
      </c>
      <c r="H48" s="38" t="e">
        <f>'LICENCIAS Y PRODUCTOS 2025-03'!#REF!</f>
        <v>#REF!</v>
      </c>
      <c r="I48" s="38" t="e">
        <f>'LICENCIAS Y PRODUCTOS 2025-03'!#REF!</f>
        <v>#REF!</v>
      </c>
      <c r="J48" s="38" t="e">
        <f>'LICENCIAS Y PRODUCTOS 2025-03'!#REF!</f>
        <v>#REF!</v>
      </c>
      <c r="K48" s="38" t="e">
        <f>'LICENCIAS Y PRODUCTOS 2025-03'!#REF!</f>
        <v>#REF!</v>
      </c>
      <c r="L48" s="38" t="e">
        <f>'LICENCIAS Y PRODUCTOS 2025-03'!#REF!</f>
        <v>#REF!</v>
      </c>
      <c r="M48" s="38" t="e">
        <f>'LICENCIAS Y PRODUCTOS 2025-03'!#REF!</f>
        <v>#REF!</v>
      </c>
      <c r="N48" s="38" t="e">
        <f>'LICENCIAS Y PRODUCTOS 2025-03'!#REF!</f>
        <v>#REF!</v>
      </c>
      <c r="O48" s="38" t="e">
        <f>'LICENCIAS Y PRODUCTOS 2025-03'!#REF!</f>
        <v>#REF!</v>
      </c>
      <c r="P48" s="38" t="e">
        <f>'LICENCIAS Y PRODUCTOS 2025-03'!#REF!</f>
        <v>#REF!</v>
      </c>
      <c r="Q48" s="38" t="e">
        <f>'LICENCIAS Y PRODUCTOS 2025-03'!#REF!</f>
        <v>#REF!</v>
      </c>
      <c r="R48" s="38" t="e">
        <f>'LICENCIAS Y PRODUCTOS 2025-03'!#REF!</f>
        <v>#REF!</v>
      </c>
      <c r="S48" s="38" t="e">
        <f>'LICENCIAS Y PRODUCTOS 2025-03'!#REF!</f>
        <v>#REF!</v>
      </c>
      <c r="T48" s="38" t="e">
        <f>'LICENCIAS Y PRODUCTOS 2025-03'!#REF!</f>
        <v>#REF!</v>
      </c>
      <c r="U48" s="38" t="e">
        <f>'LICENCIAS Y PRODUCTOS 2025-03'!#REF!</f>
        <v>#REF!</v>
      </c>
      <c r="V48" s="38" t="e">
        <f>'LICENCIAS Y PRODUCTOS 2025-03'!#REF!</f>
        <v>#REF!</v>
      </c>
      <c r="W48" s="38" t="e">
        <f>'LICENCIAS Y PRODUCTOS 2025-03'!#REF!</f>
        <v>#REF!</v>
      </c>
      <c r="X48" s="38" t="e">
        <f>'LICENCIAS Y PRODUCTOS 2025-03'!#REF!</f>
        <v>#REF!</v>
      </c>
      <c r="Y48" s="38" t="e">
        <f>'LICENCIAS Y PRODUCTOS 2025-03'!#REF!</f>
        <v>#REF!</v>
      </c>
      <c r="Z48" s="38" t="e">
        <f>'LICENCIAS Y PRODUCTOS 2025-03'!#REF!</f>
        <v>#REF!</v>
      </c>
      <c r="AA48" s="38" t="e">
        <f>'LICENCIAS Y PRODUCTOS 2025-03'!#REF!</f>
        <v>#REF!</v>
      </c>
      <c r="AB48" s="38" t="e">
        <f>'LICENCIAS Y PRODUCTOS 2025-03'!#REF!</f>
        <v>#REF!</v>
      </c>
      <c r="AC48" s="38" t="e">
        <f>'LICENCIAS Y PRODUCTOS 2025-03'!#REF!</f>
        <v>#REF!</v>
      </c>
      <c r="AD48" s="38" t="e">
        <f>'LICENCIAS Y PRODUCTOS 2025-03'!#REF!</f>
        <v>#REF!</v>
      </c>
      <c r="AE48" s="38" t="e">
        <f>'LICENCIAS Y PRODUCTOS 2025-03'!#REF!</f>
        <v>#REF!</v>
      </c>
      <c r="AF48" s="38" t="e">
        <f>'LICENCIAS Y PRODUCTOS 2025-03'!#REF!</f>
        <v>#REF!</v>
      </c>
      <c r="AG48" s="38" t="e">
        <f>'LICENCIAS Y PRODUCTOS 2025-03'!#REF!</f>
        <v>#REF!</v>
      </c>
      <c r="AH48" s="38" t="e">
        <f>'LICENCIAS Y PRODUCTOS 2025-03'!#REF!</f>
        <v>#REF!</v>
      </c>
      <c r="AI48" s="38" t="e">
        <f>'LICENCIAS Y PRODUCTOS 2025-03'!#REF!</f>
        <v>#REF!</v>
      </c>
      <c r="AJ48" s="38" t="e">
        <f>'LICENCIAS Y PRODUCTOS 2025-03'!#REF!</f>
        <v>#REF!</v>
      </c>
      <c r="AK48" s="38"/>
      <c r="AL48" s="13" t="e">
        <f t="shared" si="3"/>
        <v>#REF!</v>
      </c>
    </row>
    <row r="49" spans="4:40" ht="20.100000000000001" customHeight="1" thickTop="1" thickBot="1">
      <c r="D49" s="21" t="s">
        <v>12</v>
      </c>
      <c r="E49" s="2" t="s">
        <v>13</v>
      </c>
      <c r="F49" s="23" t="s">
        <v>102</v>
      </c>
      <c r="G49" s="38" t="e">
        <f>'LICENCIAS Y PRODUCTOS 2025-03'!#REF!</f>
        <v>#REF!</v>
      </c>
      <c r="H49" s="38" t="e">
        <f>'LICENCIAS Y PRODUCTOS 2025-03'!#REF!</f>
        <v>#REF!</v>
      </c>
      <c r="I49" s="38" t="e">
        <f>'LICENCIAS Y PRODUCTOS 2025-03'!#REF!</f>
        <v>#REF!</v>
      </c>
      <c r="J49" s="38" t="e">
        <f>'LICENCIAS Y PRODUCTOS 2025-03'!#REF!</f>
        <v>#REF!</v>
      </c>
      <c r="K49" s="38" t="e">
        <f>'LICENCIAS Y PRODUCTOS 2025-03'!#REF!</f>
        <v>#REF!</v>
      </c>
      <c r="L49" s="38" t="e">
        <f>'LICENCIAS Y PRODUCTOS 2025-03'!#REF!</f>
        <v>#REF!</v>
      </c>
      <c r="M49" s="38" t="e">
        <f>'LICENCIAS Y PRODUCTOS 2025-03'!#REF!</f>
        <v>#REF!</v>
      </c>
      <c r="N49" s="38" t="e">
        <f>'LICENCIAS Y PRODUCTOS 2025-03'!#REF!</f>
        <v>#REF!</v>
      </c>
      <c r="O49" s="38" t="e">
        <f>'LICENCIAS Y PRODUCTOS 2025-03'!#REF!</f>
        <v>#REF!</v>
      </c>
      <c r="P49" s="38" t="e">
        <f>'LICENCIAS Y PRODUCTOS 2025-03'!#REF!</f>
        <v>#REF!</v>
      </c>
      <c r="Q49" s="38" t="e">
        <f>'LICENCIAS Y PRODUCTOS 2025-03'!#REF!</f>
        <v>#REF!</v>
      </c>
      <c r="R49" s="38" t="e">
        <f>'LICENCIAS Y PRODUCTOS 2025-03'!#REF!</f>
        <v>#REF!</v>
      </c>
      <c r="S49" s="38" t="e">
        <f>'LICENCIAS Y PRODUCTOS 2025-03'!#REF!</f>
        <v>#REF!</v>
      </c>
      <c r="T49" s="38" t="e">
        <f>'LICENCIAS Y PRODUCTOS 2025-03'!#REF!</f>
        <v>#REF!</v>
      </c>
      <c r="U49" s="38" t="e">
        <f>'LICENCIAS Y PRODUCTOS 2025-03'!#REF!</f>
        <v>#REF!</v>
      </c>
      <c r="V49" s="38" t="e">
        <f>'LICENCIAS Y PRODUCTOS 2025-03'!#REF!</f>
        <v>#REF!</v>
      </c>
      <c r="W49" s="38" t="e">
        <f>'LICENCIAS Y PRODUCTOS 2025-03'!#REF!</f>
        <v>#REF!</v>
      </c>
      <c r="X49" s="38" t="e">
        <f>'LICENCIAS Y PRODUCTOS 2025-03'!#REF!</f>
        <v>#REF!</v>
      </c>
      <c r="Y49" s="38" t="e">
        <f>'LICENCIAS Y PRODUCTOS 2025-03'!#REF!</f>
        <v>#REF!</v>
      </c>
      <c r="Z49" s="38" t="e">
        <f>'LICENCIAS Y PRODUCTOS 2025-03'!#REF!</f>
        <v>#REF!</v>
      </c>
      <c r="AA49" s="38" t="e">
        <f>'LICENCIAS Y PRODUCTOS 2025-03'!#REF!</f>
        <v>#REF!</v>
      </c>
      <c r="AB49" s="38" t="e">
        <f>'LICENCIAS Y PRODUCTOS 2025-03'!#REF!</f>
        <v>#REF!</v>
      </c>
      <c r="AC49" s="38" t="e">
        <f>'LICENCIAS Y PRODUCTOS 2025-03'!#REF!</f>
        <v>#REF!</v>
      </c>
      <c r="AD49" s="38" t="e">
        <f>'LICENCIAS Y PRODUCTOS 2025-03'!#REF!</f>
        <v>#REF!</v>
      </c>
      <c r="AE49" s="38" t="e">
        <f>'LICENCIAS Y PRODUCTOS 2025-03'!#REF!</f>
        <v>#REF!</v>
      </c>
      <c r="AF49" s="38" t="e">
        <f>'LICENCIAS Y PRODUCTOS 2025-03'!#REF!</f>
        <v>#REF!</v>
      </c>
      <c r="AG49" s="38" t="e">
        <f>'LICENCIAS Y PRODUCTOS 2025-03'!#REF!</f>
        <v>#REF!</v>
      </c>
      <c r="AH49" s="38" t="e">
        <f>'LICENCIAS Y PRODUCTOS 2025-03'!#REF!</f>
        <v>#REF!</v>
      </c>
      <c r="AI49" s="38" t="e">
        <f>'LICENCIAS Y PRODUCTOS 2025-03'!#REF!</f>
        <v>#REF!</v>
      </c>
      <c r="AJ49" s="38" t="e">
        <f>'LICENCIAS Y PRODUCTOS 2025-03'!#REF!</f>
        <v>#REF!</v>
      </c>
      <c r="AK49" s="38"/>
      <c r="AL49" s="13" t="e">
        <f t="shared" si="3"/>
        <v>#REF!</v>
      </c>
      <c r="AM49" s="28" t="e">
        <f>SUM(AL49,AL56)</f>
        <v>#REF!</v>
      </c>
      <c r="AN49" t="s">
        <v>168</v>
      </c>
    </row>
    <row r="50" spans="4:40" ht="20.100000000000001" customHeight="1" thickTop="1" thickBot="1">
      <c r="D50" s="21" t="s">
        <v>30</v>
      </c>
      <c r="E50" s="40" t="s">
        <v>130</v>
      </c>
      <c r="F50" s="41" t="s">
        <v>103</v>
      </c>
      <c r="G50" s="38" t="e">
        <f>'LICENCIAS Y PRODUCTOS 2025-03'!#REF!</f>
        <v>#REF!</v>
      </c>
      <c r="H50" s="38" t="e">
        <f>'LICENCIAS Y PRODUCTOS 2025-03'!#REF!</f>
        <v>#REF!</v>
      </c>
      <c r="I50" s="38" t="e">
        <f>'LICENCIAS Y PRODUCTOS 2025-03'!#REF!</f>
        <v>#REF!</v>
      </c>
      <c r="J50" s="38" t="e">
        <f>'LICENCIAS Y PRODUCTOS 2025-03'!#REF!</f>
        <v>#REF!</v>
      </c>
      <c r="K50" s="38" t="e">
        <f>'LICENCIAS Y PRODUCTOS 2025-03'!#REF!</f>
        <v>#REF!</v>
      </c>
      <c r="L50" s="38" t="e">
        <f>'LICENCIAS Y PRODUCTOS 2025-03'!#REF!</f>
        <v>#REF!</v>
      </c>
      <c r="M50" s="38" t="e">
        <f>'LICENCIAS Y PRODUCTOS 2025-03'!#REF!</f>
        <v>#REF!</v>
      </c>
      <c r="N50" s="38" t="e">
        <f>'LICENCIAS Y PRODUCTOS 2025-03'!#REF!</f>
        <v>#REF!</v>
      </c>
      <c r="O50" s="38" t="e">
        <f>'LICENCIAS Y PRODUCTOS 2025-03'!#REF!</f>
        <v>#REF!</v>
      </c>
      <c r="P50" s="38" t="e">
        <f>'LICENCIAS Y PRODUCTOS 2025-03'!#REF!</f>
        <v>#REF!</v>
      </c>
      <c r="Q50" s="38" t="e">
        <f>'LICENCIAS Y PRODUCTOS 2025-03'!#REF!</f>
        <v>#REF!</v>
      </c>
      <c r="R50" s="38" t="e">
        <f>'LICENCIAS Y PRODUCTOS 2025-03'!#REF!</f>
        <v>#REF!</v>
      </c>
      <c r="S50" s="38" t="e">
        <f>'LICENCIAS Y PRODUCTOS 2025-03'!#REF!</f>
        <v>#REF!</v>
      </c>
      <c r="T50" s="38" t="e">
        <f>'LICENCIAS Y PRODUCTOS 2025-03'!#REF!</f>
        <v>#REF!</v>
      </c>
      <c r="U50" s="38" t="e">
        <f>'LICENCIAS Y PRODUCTOS 2025-03'!#REF!</f>
        <v>#REF!</v>
      </c>
      <c r="V50" s="38" t="e">
        <f>'LICENCIAS Y PRODUCTOS 2025-03'!#REF!</f>
        <v>#REF!</v>
      </c>
      <c r="W50" s="38" t="e">
        <f>'LICENCIAS Y PRODUCTOS 2025-03'!#REF!</f>
        <v>#REF!</v>
      </c>
      <c r="X50" s="38" t="e">
        <f>'LICENCIAS Y PRODUCTOS 2025-03'!#REF!</f>
        <v>#REF!</v>
      </c>
      <c r="Y50" s="38" t="e">
        <f>'LICENCIAS Y PRODUCTOS 2025-03'!#REF!</f>
        <v>#REF!</v>
      </c>
      <c r="Z50" s="38" t="e">
        <f>'LICENCIAS Y PRODUCTOS 2025-03'!#REF!</f>
        <v>#REF!</v>
      </c>
      <c r="AA50" s="38" t="e">
        <f>'LICENCIAS Y PRODUCTOS 2025-03'!#REF!</f>
        <v>#REF!</v>
      </c>
      <c r="AB50" s="38" t="e">
        <f>'LICENCIAS Y PRODUCTOS 2025-03'!#REF!</f>
        <v>#REF!</v>
      </c>
      <c r="AC50" s="38" t="e">
        <f>'LICENCIAS Y PRODUCTOS 2025-03'!#REF!</f>
        <v>#REF!</v>
      </c>
      <c r="AD50" s="38" t="e">
        <f>'LICENCIAS Y PRODUCTOS 2025-03'!#REF!</f>
        <v>#REF!</v>
      </c>
      <c r="AE50" s="38" t="e">
        <f>'LICENCIAS Y PRODUCTOS 2025-03'!#REF!</f>
        <v>#REF!</v>
      </c>
      <c r="AF50" s="38" t="e">
        <f>'LICENCIAS Y PRODUCTOS 2025-03'!#REF!</f>
        <v>#REF!</v>
      </c>
      <c r="AG50" s="38" t="e">
        <f>'LICENCIAS Y PRODUCTOS 2025-03'!#REF!</f>
        <v>#REF!</v>
      </c>
      <c r="AH50" s="38" t="e">
        <f>'LICENCIAS Y PRODUCTOS 2025-03'!#REF!</f>
        <v>#REF!</v>
      </c>
      <c r="AI50" s="38" t="e">
        <f>'LICENCIAS Y PRODUCTOS 2025-03'!#REF!</f>
        <v>#REF!</v>
      </c>
      <c r="AJ50" s="38" t="e">
        <f>'LICENCIAS Y PRODUCTOS 2025-03'!#REF!</f>
        <v>#REF!</v>
      </c>
      <c r="AK50" s="38"/>
      <c r="AL50" s="13" t="e">
        <f t="shared" ref="AL50:AL55" si="4">SUM(G50:AK50)</f>
        <v>#REF!</v>
      </c>
    </row>
    <row r="51" spans="4:40" ht="20.100000000000001" customHeight="1" thickTop="1" thickBot="1">
      <c r="D51" s="21" t="s">
        <v>29</v>
      </c>
      <c r="E51" s="2" t="s">
        <v>24</v>
      </c>
      <c r="F51" s="23" t="s">
        <v>115</v>
      </c>
      <c r="G51" s="38" t="e">
        <f>'LICENCIAS Y PRODUCTOS 2025-03'!#REF!</f>
        <v>#REF!</v>
      </c>
      <c r="H51" s="38" t="e">
        <f>'LICENCIAS Y PRODUCTOS 2025-03'!#REF!</f>
        <v>#REF!</v>
      </c>
      <c r="I51" s="38" t="e">
        <f>'LICENCIAS Y PRODUCTOS 2025-03'!#REF!</f>
        <v>#REF!</v>
      </c>
      <c r="J51" s="38" t="e">
        <f>'LICENCIAS Y PRODUCTOS 2025-03'!#REF!</f>
        <v>#REF!</v>
      </c>
      <c r="K51" s="38" t="e">
        <f>'LICENCIAS Y PRODUCTOS 2025-03'!#REF!</f>
        <v>#REF!</v>
      </c>
      <c r="L51" s="38" t="e">
        <f>'LICENCIAS Y PRODUCTOS 2025-03'!#REF!</f>
        <v>#REF!</v>
      </c>
      <c r="M51" s="38" t="e">
        <f>'LICENCIAS Y PRODUCTOS 2025-03'!#REF!</f>
        <v>#REF!</v>
      </c>
      <c r="N51" s="38" t="e">
        <f>'LICENCIAS Y PRODUCTOS 2025-03'!#REF!</f>
        <v>#REF!</v>
      </c>
      <c r="O51" s="38" t="e">
        <f>'LICENCIAS Y PRODUCTOS 2025-03'!#REF!</f>
        <v>#REF!</v>
      </c>
      <c r="P51" s="38" t="e">
        <f>'LICENCIAS Y PRODUCTOS 2025-03'!#REF!</f>
        <v>#REF!</v>
      </c>
      <c r="Q51" s="38" t="e">
        <f>'LICENCIAS Y PRODUCTOS 2025-03'!#REF!</f>
        <v>#REF!</v>
      </c>
      <c r="R51" s="38" t="e">
        <f>'LICENCIAS Y PRODUCTOS 2025-03'!#REF!</f>
        <v>#REF!</v>
      </c>
      <c r="S51" s="38" t="e">
        <f>'LICENCIAS Y PRODUCTOS 2025-03'!#REF!</f>
        <v>#REF!</v>
      </c>
      <c r="T51" s="38" t="e">
        <f>'LICENCIAS Y PRODUCTOS 2025-03'!#REF!</f>
        <v>#REF!</v>
      </c>
      <c r="U51" s="38" t="e">
        <f>'LICENCIAS Y PRODUCTOS 2025-03'!#REF!</f>
        <v>#REF!</v>
      </c>
      <c r="V51" s="38" t="e">
        <f>'LICENCIAS Y PRODUCTOS 2025-03'!#REF!</f>
        <v>#REF!</v>
      </c>
      <c r="W51" s="38" t="e">
        <f>'LICENCIAS Y PRODUCTOS 2025-03'!#REF!</f>
        <v>#REF!</v>
      </c>
      <c r="X51" s="38" t="e">
        <f>'LICENCIAS Y PRODUCTOS 2025-03'!#REF!</f>
        <v>#REF!</v>
      </c>
      <c r="Y51" s="38" t="e">
        <f>'LICENCIAS Y PRODUCTOS 2025-03'!#REF!</f>
        <v>#REF!</v>
      </c>
      <c r="Z51" s="38" t="e">
        <f>'LICENCIAS Y PRODUCTOS 2025-03'!#REF!</f>
        <v>#REF!</v>
      </c>
      <c r="AA51" s="38" t="e">
        <f>'LICENCIAS Y PRODUCTOS 2025-03'!#REF!</f>
        <v>#REF!</v>
      </c>
      <c r="AB51" s="38" t="e">
        <f>'LICENCIAS Y PRODUCTOS 2025-03'!#REF!</f>
        <v>#REF!</v>
      </c>
      <c r="AC51" s="38" t="e">
        <f>'LICENCIAS Y PRODUCTOS 2025-03'!#REF!</f>
        <v>#REF!</v>
      </c>
      <c r="AD51" s="38" t="e">
        <f>'LICENCIAS Y PRODUCTOS 2025-03'!#REF!</f>
        <v>#REF!</v>
      </c>
      <c r="AE51" s="38" t="e">
        <f>'LICENCIAS Y PRODUCTOS 2025-03'!#REF!</f>
        <v>#REF!</v>
      </c>
      <c r="AF51" s="38" t="e">
        <f>'LICENCIAS Y PRODUCTOS 2025-03'!#REF!</f>
        <v>#REF!</v>
      </c>
      <c r="AG51" s="38" t="e">
        <f>'LICENCIAS Y PRODUCTOS 2025-03'!#REF!</f>
        <v>#REF!</v>
      </c>
      <c r="AH51" s="38" t="e">
        <f>'LICENCIAS Y PRODUCTOS 2025-03'!#REF!</f>
        <v>#REF!</v>
      </c>
      <c r="AI51" s="38" t="e">
        <f>'LICENCIAS Y PRODUCTOS 2025-03'!#REF!</f>
        <v>#REF!</v>
      </c>
      <c r="AJ51" s="38" t="e">
        <f>'LICENCIAS Y PRODUCTOS 2025-03'!#REF!</f>
        <v>#REF!</v>
      </c>
      <c r="AK51" s="38"/>
      <c r="AL51" s="13" t="e">
        <f t="shared" si="4"/>
        <v>#REF!</v>
      </c>
      <c r="AM51" s="28" t="e">
        <f>SUM(AL51:AL51)</f>
        <v>#REF!</v>
      </c>
      <c r="AN51" t="s">
        <v>29</v>
      </c>
    </row>
    <row r="52" spans="4:40" ht="20.100000000000001" customHeight="1" thickTop="1" thickBot="1">
      <c r="D52" s="21" t="s">
        <v>29</v>
      </c>
      <c r="E52" s="2" t="s">
        <v>173</v>
      </c>
      <c r="F52" s="77" t="s">
        <v>104</v>
      </c>
      <c r="G52" s="38" t="e">
        <f>'LICENCIAS Y PRODUCTOS 2025-03'!#REF!</f>
        <v>#REF!</v>
      </c>
      <c r="H52" s="38" t="e">
        <f>'LICENCIAS Y PRODUCTOS 2025-03'!#REF!</f>
        <v>#REF!</v>
      </c>
      <c r="I52" s="38" t="e">
        <f>'LICENCIAS Y PRODUCTOS 2025-03'!#REF!</f>
        <v>#REF!</v>
      </c>
      <c r="J52" s="38" t="e">
        <f>'LICENCIAS Y PRODUCTOS 2025-03'!#REF!</f>
        <v>#REF!</v>
      </c>
      <c r="K52" s="38" t="e">
        <f>'LICENCIAS Y PRODUCTOS 2025-03'!#REF!</f>
        <v>#REF!</v>
      </c>
      <c r="L52" s="38" t="e">
        <f>'LICENCIAS Y PRODUCTOS 2025-03'!#REF!</f>
        <v>#REF!</v>
      </c>
      <c r="M52" s="38" t="e">
        <f>'LICENCIAS Y PRODUCTOS 2025-03'!#REF!</f>
        <v>#REF!</v>
      </c>
      <c r="N52" s="38" t="e">
        <f>'LICENCIAS Y PRODUCTOS 2025-03'!#REF!</f>
        <v>#REF!</v>
      </c>
      <c r="O52" s="38" t="e">
        <f>'LICENCIAS Y PRODUCTOS 2025-03'!#REF!</f>
        <v>#REF!</v>
      </c>
      <c r="P52" s="38" t="e">
        <f>'LICENCIAS Y PRODUCTOS 2025-03'!#REF!</f>
        <v>#REF!</v>
      </c>
      <c r="Q52" s="38" t="e">
        <f>'LICENCIAS Y PRODUCTOS 2025-03'!#REF!</f>
        <v>#REF!</v>
      </c>
      <c r="R52" s="38" t="e">
        <f>'LICENCIAS Y PRODUCTOS 2025-03'!#REF!</f>
        <v>#REF!</v>
      </c>
      <c r="S52" s="38" t="e">
        <f>'LICENCIAS Y PRODUCTOS 2025-03'!#REF!</f>
        <v>#REF!</v>
      </c>
      <c r="T52" s="38" t="e">
        <f>'LICENCIAS Y PRODUCTOS 2025-03'!#REF!</f>
        <v>#REF!</v>
      </c>
      <c r="U52" s="38" t="e">
        <f>'LICENCIAS Y PRODUCTOS 2025-03'!#REF!</f>
        <v>#REF!</v>
      </c>
      <c r="V52" s="38" t="e">
        <f>'LICENCIAS Y PRODUCTOS 2025-03'!#REF!</f>
        <v>#REF!</v>
      </c>
      <c r="W52" s="38" t="e">
        <f>'LICENCIAS Y PRODUCTOS 2025-03'!#REF!</f>
        <v>#REF!</v>
      </c>
      <c r="X52" s="38" t="e">
        <f>'LICENCIAS Y PRODUCTOS 2025-03'!#REF!</f>
        <v>#REF!</v>
      </c>
      <c r="Y52" s="38" t="e">
        <f>'LICENCIAS Y PRODUCTOS 2025-03'!#REF!</f>
        <v>#REF!</v>
      </c>
      <c r="Z52" s="38" t="e">
        <f>'LICENCIAS Y PRODUCTOS 2025-03'!#REF!</f>
        <v>#REF!</v>
      </c>
      <c r="AA52" s="38" t="e">
        <f>'LICENCIAS Y PRODUCTOS 2025-03'!#REF!</f>
        <v>#REF!</v>
      </c>
      <c r="AB52" s="38" t="e">
        <f>'LICENCIAS Y PRODUCTOS 2025-03'!#REF!</f>
        <v>#REF!</v>
      </c>
      <c r="AC52" s="38" t="e">
        <f>'LICENCIAS Y PRODUCTOS 2025-03'!#REF!</f>
        <v>#REF!</v>
      </c>
      <c r="AD52" s="38" t="e">
        <f>'LICENCIAS Y PRODUCTOS 2025-03'!#REF!</f>
        <v>#REF!</v>
      </c>
      <c r="AE52" s="38" t="e">
        <f>'LICENCIAS Y PRODUCTOS 2025-03'!#REF!</f>
        <v>#REF!</v>
      </c>
      <c r="AF52" s="38" t="e">
        <f>'LICENCIAS Y PRODUCTOS 2025-03'!#REF!</f>
        <v>#REF!</v>
      </c>
      <c r="AG52" s="38" t="e">
        <f>'LICENCIAS Y PRODUCTOS 2025-03'!#REF!</f>
        <v>#REF!</v>
      </c>
      <c r="AH52" s="38" t="e">
        <f>'LICENCIAS Y PRODUCTOS 2025-03'!#REF!</f>
        <v>#REF!</v>
      </c>
      <c r="AI52" s="38" t="e">
        <f>'LICENCIAS Y PRODUCTOS 2025-03'!#REF!</f>
        <v>#REF!</v>
      </c>
      <c r="AJ52" s="38" t="e">
        <f>'LICENCIAS Y PRODUCTOS 2025-03'!#REF!</f>
        <v>#REF!</v>
      </c>
      <c r="AK52" s="38"/>
      <c r="AL52" s="13" t="e">
        <f t="shared" si="4"/>
        <v>#REF!</v>
      </c>
    </row>
    <row r="53" spans="4:40" ht="20.100000000000001" customHeight="1" thickTop="1" thickBot="1">
      <c r="D53" s="21" t="s">
        <v>16</v>
      </c>
      <c r="E53" s="2" t="s">
        <v>26</v>
      </c>
      <c r="F53" s="23" t="s">
        <v>105</v>
      </c>
      <c r="G53" s="38" t="e">
        <f>'LICENCIAS Y PRODUCTOS 2025-03'!#REF!</f>
        <v>#REF!</v>
      </c>
      <c r="H53" s="38" t="e">
        <f>'LICENCIAS Y PRODUCTOS 2025-03'!#REF!</f>
        <v>#REF!</v>
      </c>
      <c r="I53" s="38" t="e">
        <f>'LICENCIAS Y PRODUCTOS 2025-03'!#REF!</f>
        <v>#REF!</v>
      </c>
      <c r="J53" s="38" t="e">
        <f>'LICENCIAS Y PRODUCTOS 2025-03'!#REF!</f>
        <v>#REF!</v>
      </c>
      <c r="K53" s="38" t="e">
        <f>'LICENCIAS Y PRODUCTOS 2025-03'!#REF!</f>
        <v>#REF!</v>
      </c>
      <c r="L53" s="38" t="e">
        <f>'LICENCIAS Y PRODUCTOS 2025-03'!#REF!</f>
        <v>#REF!</v>
      </c>
      <c r="M53" s="38" t="e">
        <f>'LICENCIAS Y PRODUCTOS 2025-03'!#REF!</f>
        <v>#REF!</v>
      </c>
      <c r="N53" s="38" t="e">
        <f>'LICENCIAS Y PRODUCTOS 2025-03'!#REF!</f>
        <v>#REF!</v>
      </c>
      <c r="O53" s="38" t="e">
        <f>'LICENCIAS Y PRODUCTOS 2025-03'!#REF!</f>
        <v>#REF!</v>
      </c>
      <c r="P53" s="38" t="e">
        <f>'LICENCIAS Y PRODUCTOS 2025-03'!#REF!</f>
        <v>#REF!</v>
      </c>
      <c r="Q53" s="38" t="e">
        <f>'LICENCIAS Y PRODUCTOS 2025-03'!#REF!</f>
        <v>#REF!</v>
      </c>
      <c r="R53" s="38" t="e">
        <f>'LICENCIAS Y PRODUCTOS 2025-03'!#REF!</f>
        <v>#REF!</v>
      </c>
      <c r="S53" s="38" t="e">
        <f>'LICENCIAS Y PRODUCTOS 2025-03'!#REF!</f>
        <v>#REF!</v>
      </c>
      <c r="T53" s="38" t="e">
        <f>'LICENCIAS Y PRODUCTOS 2025-03'!#REF!</f>
        <v>#REF!</v>
      </c>
      <c r="U53" s="38" t="e">
        <f>'LICENCIAS Y PRODUCTOS 2025-03'!#REF!</f>
        <v>#REF!</v>
      </c>
      <c r="V53" s="38" t="e">
        <f>'LICENCIAS Y PRODUCTOS 2025-03'!#REF!</f>
        <v>#REF!</v>
      </c>
      <c r="W53" s="38" t="e">
        <f>'LICENCIAS Y PRODUCTOS 2025-03'!#REF!</f>
        <v>#REF!</v>
      </c>
      <c r="X53" s="38" t="e">
        <f>'LICENCIAS Y PRODUCTOS 2025-03'!#REF!</f>
        <v>#REF!</v>
      </c>
      <c r="Y53" s="38" t="e">
        <f>'LICENCIAS Y PRODUCTOS 2025-03'!#REF!</f>
        <v>#REF!</v>
      </c>
      <c r="Z53" s="38" t="e">
        <f>'LICENCIAS Y PRODUCTOS 2025-03'!#REF!</f>
        <v>#REF!</v>
      </c>
      <c r="AA53" s="38" t="e">
        <f>'LICENCIAS Y PRODUCTOS 2025-03'!#REF!</f>
        <v>#REF!</v>
      </c>
      <c r="AB53" s="38" t="e">
        <f>'LICENCIAS Y PRODUCTOS 2025-03'!#REF!</f>
        <v>#REF!</v>
      </c>
      <c r="AC53" s="38" t="e">
        <f>'LICENCIAS Y PRODUCTOS 2025-03'!#REF!</f>
        <v>#REF!</v>
      </c>
      <c r="AD53" s="38" t="e">
        <f>'LICENCIAS Y PRODUCTOS 2025-03'!#REF!</f>
        <v>#REF!</v>
      </c>
      <c r="AE53" s="38" t="e">
        <f>'LICENCIAS Y PRODUCTOS 2025-03'!#REF!</f>
        <v>#REF!</v>
      </c>
      <c r="AF53" s="38" t="e">
        <f>'LICENCIAS Y PRODUCTOS 2025-03'!#REF!</f>
        <v>#REF!</v>
      </c>
      <c r="AG53" s="38" t="e">
        <f>'LICENCIAS Y PRODUCTOS 2025-03'!#REF!</f>
        <v>#REF!</v>
      </c>
      <c r="AH53" s="38" t="e">
        <f>'LICENCIAS Y PRODUCTOS 2025-03'!#REF!</f>
        <v>#REF!</v>
      </c>
      <c r="AI53" s="38" t="e">
        <f>'LICENCIAS Y PRODUCTOS 2025-03'!#REF!</f>
        <v>#REF!</v>
      </c>
      <c r="AJ53" s="38" t="e">
        <f>'LICENCIAS Y PRODUCTOS 2025-03'!#REF!</f>
        <v>#REF!</v>
      </c>
      <c r="AK53" s="38"/>
      <c r="AL53" s="13" t="e">
        <f t="shared" si="4"/>
        <v>#REF!</v>
      </c>
      <c r="AM53" s="28" t="e">
        <f>SUM(AL53:AL54)</f>
        <v>#REF!</v>
      </c>
      <c r="AN53" t="s">
        <v>179</v>
      </c>
    </row>
    <row r="54" spans="4:40" ht="20.100000000000001" customHeight="1" thickTop="1" thickBot="1">
      <c r="D54" s="21" t="s">
        <v>16</v>
      </c>
      <c r="E54" s="2" t="s">
        <v>25</v>
      </c>
      <c r="F54" s="23" t="s">
        <v>106</v>
      </c>
      <c r="G54" s="38" t="e">
        <f>'LICENCIAS Y PRODUCTOS 2025-03'!#REF!</f>
        <v>#REF!</v>
      </c>
      <c r="H54" s="38" t="e">
        <f>'LICENCIAS Y PRODUCTOS 2025-03'!#REF!</f>
        <v>#REF!</v>
      </c>
      <c r="I54" s="38" t="e">
        <f>'LICENCIAS Y PRODUCTOS 2025-03'!#REF!</f>
        <v>#REF!</v>
      </c>
      <c r="J54" s="38" t="e">
        <f>'LICENCIAS Y PRODUCTOS 2025-03'!#REF!</f>
        <v>#REF!</v>
      </c>
      <c r="K54" s="38" t="e">
        <f>'LICENCIAS Y PRODUCTOS 2025-03'!#REF!</f>
        <v>#REF!</v>
      </c>
      <c r="L54" s="38" t="e">
        <f>'LICENCIAS Y PRODUCTOS 2025-03'!#REF!</f>
        <v>#REF!</v>
      </c>
      <c r="M54" s="38" t="e">
        <f>'LICENCIAS Y PRODUCTOS 2025-03'!#REF!</f>
        <v>#REF!</v>
      </c>
      <c r="N54" s="38" t="e">
        <f>'LICENCIAS Y PRODUCTOS 2025-03'!#REF!</f>
        <v>#REF!</v>
      </c>
      <c r="O54" s="38" t="e">
        <f>'LICENCIAS Y PRODUCTOS 2025-03'!#REF!</f>
        <v>#REF!</v>
      </c>
      <c r="P54" s="38" t="e">
        <f>'LICENCIAS Y PRODUCTOS 2025-03'!#REF!</f>
        <v>#REF!</v>
      </c>
      <c r="Q54" s="38" t="e">
        <f>'LICENCIAS Y PRODUCTOS 2025-03'!#REF!</f>
        <v>#REF!</v>
      </c>
      <c r="R54" s="38" t="e">
        <f>'LICENCIAS Y PRODUCTOS 2025-03'!#REF!</f>
        <v>#REF!</v>
      </c>
      <c r="S54" s="38" t="e">
        <f>'LICENCIAS Y PRODUCTOS 2025-03'!#REF!</f>
        <v>#REF!</v>
      </c>
      <c r="T54" s="38" t="e">
        <f>'LICENCIAS Y PRODUCTOS 2025-03'!#REF!</f>
        <v>#REF!</v>
      </c>
      <c r="U54" s="38" t="e">
        <f>'LICENCIAS Y PRODUCTOS 2025-03'!#REF!</f>
        <v>#REF!</v>
      </c>
      <c r="V54" s="38" t="e">
        <f>'LICENCIAS Y PRODUCTOS 2025-03'!#REF!</f>
        <v>#REF!</v>
      </c>
      <c r="W54" s="38" t="e">
        <f>'LICENCIAS Y PRODUCTOS 2025-03'!#REF!</f>
        <v>#REF!</v>
      </c>
      <c r="X54" s="38" t="e">
        <f>'LICENCIAS Y PRODUCTOS 2025-03'!#REF!</f>
        <v>#REF!</v>
      </c>
      <c r="Y54" s="38" t="e">
        <f>'LICENCIAS Y PRODUCTOS 2025-03'!#REF!</f>
        <v>#REF!</v>
      </c>
      <c r="Z54" s="38" t="e">
        <f>'LICENCIAS Y PRODUCTOS 2025-03'!#REF!</f>
        <v>#REF!</v>
      </c>
      <c r="AA54" s="38" t="e">
        <f>'LICENCIAS Y PRODUCTOS 2025-03'!#REF!</f>
        <v>#REF!</v>
      </c>
      <c r="AB54" s="38" t="e">
        <f>'LICENCIAS Y PRODUCTOS 2025-03'!#REF!</f>
        <v>#REF!</v>
      </c>
      <c r="AC54" s="38" t="e">
        <f>'LICENCIAS Y PRODUCTOS 2025-03'!#REF!</f>
        <v>#REF!</v>
      </c>
      <c r="AD54" s="38" t="e">
        <f>'LICENCIAS Y PRODUCTOS 2025-03'!#REF!</f>
        <v>#REF!</v>
      </c>
      <c r="AE54" s="38" t="e">
        <f>'LICENCIAS Y PRODUCTOS 2025-03'!#REF!</f>
        <v>#REF!</v>
      </c>
      <c r="AF54" s="38" t="e">
        <f>'LICENCIAS Y PRODUCTOS 2025-03'!#REF!</f>
        <v>#REF!</v>
      </c>
      <c r="AG54" s="38" t="e">
        <f>'LICENCIAS Y PRODUCTOS 2025-03'!#REF!</f>
        <v>#REF!</v>
      </c>
      <c r="AH54" s="38" t="e">
        <f>'LICENCIAS Y PRODUCTOS 2025-03'!#REF!</f>
        <v>#REF!</v>
      </c>
      <c r="AI54" s="38" t="e">
        <f>'LICENCIAS Y PRODUCTOS 2025-03'!#REF!</f>
        <v>#REF!</v>
      </c>
      <c r="AJ54" s="38" t="e">
        <f>'LICENCIAS Y PRODUCTOS 2025-03'!#REF!</f>
        <v>#REF!</v>
      </c>
      <c r="AK54" s="38"/>
      <c r="AL54" s="13" t="e">
        <f t="shared" si="4"/>
        <v>#REF!</v>
      </c>
    </row>
    <row r="55" spans="4:40" ht="20.100000000000001" customHeight="1" thickTop="1" thickBot="1">
      <c r="D55" s="21" t="s">
        <v>17</v>
      </c>
      <c r="E55" s="2" t="s">
        <v>181</v>
      </c>
      <c r="F55" s="23" t="s">
        <v>107</v>
      </c>
      <c r="G55" s="38" t="e">
        <f>'LICENCIAS Y PRODUCTOS 2025-03'!#REF!</f>
        <v>#REF!</v>
      </c>
      <c r="H55" s="38" t="e">
        <f>'LICENCIAS Y PRODUCTOS 2025-03'!#REF!</f>
        <v>#REF!</v>
      </c>
      <c r="I55" s="38" t="e">
        <f>'LICENCIAS Y PRODUCTOS 2025-03'!#REF!</f>
        <v>#REF!</v>
      </c>
      <c r="J55" s="38" t="e">
        <f>'LICENCIAS Y PRODUCTOS 2025-03'!#REF!</f>
        <v>#REF!</v>
      </c>
      <c r="K55" s="38" t="e">
        <f>'LICENCIAS Y PRODUCTOS 2025-03'!#REF!</f>
        <v>#REF!</v>
      </c>
      <c r="L55" s="38" t="e">
        <f>'LICENCIAS Y PRODUCTOS 2025-03'!#REF!</f>
        <v>#REF!</v>
      </c>
      <c r="M55" s="38" t="e">
        <f>'LICENCIAS Y PRODUCTOS 2025-03'!#REF!</f>
        <v>#REF!</v>
      </c>
      <c r="N55" s="38" t="e">
        <f>'LICENCIAS Y PRODUCTOS 2025-03'!#REF!</f>
        <v>#REF!</v>
      </c>
      <c r="O55" s="38" t="e">
        <f>'LICENCIAS Y PRODUCTOS 2025-03'!#REF!</f>
        <v>#REF!</v>
      </c>
      <c r="P55" s="38" t="e">
        <f>'LICENCIAS Y PRODUCTOS 2025-03'!#REF!</f>
        <v>#REF!</v>
      </c>
      <c r="Q55" s="38" t="e">
        <f>'LICENCIAS Y PRODUCTOS 2025-03'!#REF!</f>
        <v>#REF!</v>
      </c>
      <c r="R55" s="38" t="e">
        <f>'LICENCIAS Y PRODUCTOS 2025-03'!#REF!</f>
        <v>#REF!</v>
      </c>
      <c r="S55" s="38" t="e">
        <f>'LICENCIAS Y PRODUCTOS 2025-03'!#REF!</f>
        <v>#REF!</v>
      </c>
      <c r="T55" s="38" t="e">
        <f>'LICENCIAS Y PRODUCTOS 2025-03'!#REF!</f>
        <v>#REF!</v>
      </c>
      <c r="U55" s="38" t="e">
        <f>'LICENCIAS Y PRODUCTOS 2025-03'!#REF!</f>
        <v>#REF!</v>
      </c>
      <c r="V55" s="38" t="e">
        <f>'LICENCIAS Y PRODUCTOS 2025-03'!#REF!</f>
        <v>#REF!</v>
      </c>
      <c r="W55" s="38" t="e">
        <f>'LICENCIAS Y PRODUCTOS 2025-03'!#REF!</f>
        <v>#REF!</v>
      </c>
      <c r="X55" s="38" t="e">
        <f>'LICENCIAS Y PRODUCTOS 2025-03'!#REF!</f>
        <v>#REF!</v>
      </c>
      <c r="Y55" s="38" t="e">
        <f>'LICENCIAS Y PRODUCTOS 2025-03'!#REF!</f>
        <v>#REF!</v>
      </c>
      <c r="Z55" s="38" t="e">
        <f>'LICENCIAS Y PRODUCTOS 2025-03'!#REF!</f>
        <v>#REF!</v>
      </c>
      <c r="AA55" s="38" t="e">
        <f>'LICENCIAS Y PRODUCTOS 2025-03'!#REF!</f>
        <v>#REF!</v>
      </c>
      <c r="AB55" s="38" t="e">
        <f>'LICENCIAS Y PRODUCTOS 2025-03'!#REF!</f>
        <v>#REF!</v>
      </c>
      <c r="AC55" s="38" t="e">
        <f>'LICENCIAS Y PRODUCTOS 2025-03'!#REF!</f>
        <v>#REF!</v>
      </c>
      <c r="AD55" s="38" t="e">
        <f>'LICENCIAS Y PRODUCTOS 2025-03'!#REF!</f>
        <v>#REF!</v>
      </c>
      <c r="AE55" s="38" t="e">
        <f>'LICENCIAS Y PRODUCTOS 2025-03'!#REF!</f>
        <v>#REF!</v>
      </c>
      <c r="AF55" s="38" t="e">
        <f>'LICENCIAS Y PRODUCTOS 2025-03'!#REF!</f>
        <v>#REF!</v>
      </c>
      <c r="AG55" s="38" t="e">
        <f>'LICENCIAS Y PRODUCTOS 2025-03'!#REF!</f>
        <v>#REF!</v>
      </c>
      <c r="AH55" s="38" t="e">
        <f>'LICENCIAS Y PRODUCTOS 2025-03'!#REF!</f>
        <v>#REF!</v>
      </c>
      <c r="AI55" s="38" t="e">
        <f>'LICENCIAS Y PRODUCTOS 2025-03'!#REF!</f>
        <v>#REF!</v>
      </c>
      <c r="AJ55" s="38" t="e">
        <f>'LICENCIAS Y PRODUCTOS 2025-03'!#REF!</f>
        <v>#REF!</v>
      </c>
      <c r="AK55" s="38"/>
      <c r="AL55" s="13" t="e">
        <f t="shared" si="4"/>
        <v>#REF!</v>
      </c>
      <c r="AM55" s="28"/>
    </row>
    <row r="56" spans="4:40" ht="20.100000000000001" customHeight="1" thickTop="1" thickBot="1">
      <c r="D56" s="21" t="s">
        <v>19</v>
      </c>
      <c r="E56" s="2" t="s">
        <v>20</v>
      </c>
      <c r="F56" s="23" t="s">
        <v>108</v>
      </c>
      <c r="G56" s="38" t="e">
        <f>'LICENCIAS Y PRODUCTOS 2025-03'!#REF!</f>
        <v>#REF!</v>
      </c>
      <c r="H56" s="38" t="e">
        <f>'LICENCIAS Y PRODUCTOS 2025-03'!#REF!</f>
        <v>#REF!</v>
      </c>
      <c r="I56" s="38" t="e">
        <f>'LICENCIAS Y PRODUCTOS 2025-03'!#REF!</f>
        <v>#REF!</v>
      </c>
      <c r="J56" s="38" t="e">
        <f>'LICENCIAS Y PRODUCTOS 2025-03'!#REF!</f>
        <v>#REF!</v>
      </c>
      <c r="K56" s="38" t="e">
        <f>'LICENCIAS Y PRODUCTOS 2025-03'!#REF!</f>
        <v>#REF!</v>
      </c>
      <c r="L56" s="38" t="e">
        <f>'LICENCIAS Y PRODUCTOS 2025-03'!#REF!</f>
        <v>#REF!</v>
      </c>
      <c r="M56" s="38" t="e">
        <f>'LICENCIAS Y PRODUCTOS 2025-03'!#REF!</f>
        <v>#REF!</v>
      </c>
      <c r="N56" s="38" t="e">
        <f>'LICENCIAS Y PRODUCTOS 2025-03'!#REF!</f>
        <v>#REF!</v>
      </c>
      <c r="O56" s="38" t="e">
        <f>'LICENCIAS Y PRODUCTOS 2025-03'!#REF!</f>
        <v>#REF!</v>
      </c>
      <c r="P56" s="38" t="e">
        <f>'LICENCIAS Y PRODUCTOS 2025-03'!#REF!</f>
        <v>#REF!</v>
      </c>
      <c r="Q56" s="38" t="e">
        <f>'LICENCIAS Y PRODUCTOS 2025-03'!#REF!</f>
        <v>#REF!</v>
      </c>
      <c r="R56" s="38" t="e">
        <f>'LICENCIAS Y PRODUCTOS 2025-03'!#REF!</f>
        <v>#REF!</v>
      </c>
      <c r="S56" s="38" t="e">
        <f>'LICENCIAS Y PRODUCTOS 2025-03'!#REF!</f>
        <v>#REF!</v>
      </c>
      <c r="T56" s="38" t="e">
        <f>'LICENCIAS Y PRODUCTOS 2025-03'!#REF!</f>
        <v>#REF!</v>
      </c>
      <c r="U56" s="38" t="e">
        <f>'LICENCIAS Y PRODUCTOS 2025-03'!#REF!</f>
        <v>#REF!</v>
      </c>
      <c r="V56" s="38" t="e">
        <f>'LICENCIAS Y PRODUCTOS 2025-03'!#REF!</f>
        <v>#REF!</v>
      </c>
      <c r="W56" s="38" t="e">
        <f>'LICENCIAS Y PRODUCTOS 2025-03'!#REF!</f>
        <v>#REF!</v>
      </c>
      <c r="X56" s="38" t="e">
        <f>'LICENCIAS Y PRODUCTOS 2025-03'!#REF!</f>
        <v>#REF!</v>
      </c>
      <c r="Y56" s="38" t="e">
        <f>'LICENCIAS Y PRODUCTOS 2025-03'!#REF!</f>
        <v>#REF!</v>
      </c>
      <c r="Z56" s="38" t="e">
        <f>'LICENCIAS Y PRODUCTOS 2025-03'!#REF!</f>
        <v>#REF!</v>
      </c>
      <c r="AA56" s="38" t="e">
        <f>'LICENCIAS Y PRODUCTOS 2025-03'!#REF!</f>
        <v>#REF!</v>
      </c>
      <c r="AB56" s="38" t="e">
        <f>'LICENCIAS Y PRODUCTOS 2025-03'!#REF!</f>
        <v>#REF!</v>
      </c>
      <c r="AC56" s="38" t="e">
        <f>'LICENCIAS Y PRODUCTOS 2025-03'!#REF!</f>
        <v>#REF!</v>
      </c>
      <c r="AD56" s="38" t="e">
        <f>'LICENCIAS Y PRODUCTOS 2025-03'!#REF!</f>
        <v>#REF!</v>
      </c>
      <c r="AE56" s="38" t="e">
        <f>'LICENCIAS Y PRODUCTOS 2025-03'!#REF!</f>
        <v>#REF!</v>
      </c>
      <c r="AF56" s="38" t="e">
        <f>'LICENCIAS Y PRODUCTOS 2025-03'!#REF!</f>
        <v>#REF!</v>
      </c>
      <c r="AG56" s="38" t="e">
        <f>'LICENCIAS Y PRODUCTOS 2025-03'!#REF!</f>
        <v>#REF!</v>
      </c>
      <c r="AH56" s="38" t="e">
        <f>'LICENCIAS Y PRODUCTOS 2025-03'!#REF!</f>
        <v>#REF!</v>
      </c>
      <c r="AI56" s="38" t="e">
        <f>'LICENCIAS Y PRODUCTOS 2025-03'!#REF!</f>
        <v>#REF!</v>
      </c>
      <c r="AJ56" s="38" t="e">
        <f>'LICENCIAS Y PRODUCTOS 2025-03'!#REF!</f>
        <v>#REF!</v>
      </c>
      <c r="AK56" s="38"/>
      <c r="AL56" s="13" t="e">
        <f>SUM(G56:AK56)</f>
        <v>#REF!</v>
      </c>
    </row>
    <row r="57" spans="4:40" ht="20.100000000000001" customHeight="1" thickTop="1" thickBot="1">
      <c r="D57" s="21" t="s">
        <v>21</v>
      </c>
      <c r="E57" s="2" t="s">
        <v>128</v>
      </c>
      <c r="F57" s="23" t="s">
        <v>111</v>
      </c>
      <c r="G57" s="38" t="e">
        <f>'LICENCIAS Y PRODUCTOS 2025-03'!#REF!</f>
        <v>#REF!</v>
      </c>
      <c r="H57" s="38" t="e">
        <f>'LICENCIAS Y PRODUCTOS 2025-03'!#REF!</f>
        <v>#REF!</v>
      </c>
      <c r="I57" s="38" t="e">
        <f>'LICENCIAS Y PRODUCTOS 2025-03'!#REF!</f>
        <v>#REF!</v>
      </c>
      <c r="J57" s="38" t="e">
        <f>'LICENCIAS Y PRODUCTOS 2025-03'!#REF!</f>
        <v>#REF!</v>
      </c>
      <c r="K57" s="38" t="e">
        <f>'LICENCIAS Y PRODUCTOS 2025-03'!#REF!</f>
        <v>#REF!</v>
      </c>
      <c r="L57" s="38" t="e">
        <f>'LICENCIAS Y PRODUCTOS 2025-03'!#REF!</f>
        <v>#REF!</v>
      </c>
      <c r="M57" s="38" t="e">
        <f>'LICENCIAS Y PRODUCTOS 2025-03'!#REF!</f>
        <v>#REF!</v>
      </c>
      <c r="N57" s="38" t="e">
        <f>'LICENCIAS Y PRODUCTOS 2025-03'!#REF!</f>
        <v>#REF!</v>
      </c>
      <c r="O57" s="38" t="e">
        <f>'LICENCIAS Y PRODUCTOS 2025-03'!#REF!</f>
        <v>#REF!</v>
      </c>
      <c r="P57" s="38" t="e">
        <f>'LICENCIAS Y PRODUCTOS 2025-03'!#REF!</f>
        <v>#REF!</v>
      </c>
      <c r="Q57" s="38" t="e">
        <f>'LICENCIAS Y PRODUCTOS 2025-03'!#REF!</f>
        <v>#REF!</v>
      </c>
      <c r="R57" s="38" t="e">
        <f>'LICENCIAS Y PRODUCTOS 2025-03'!#REF!</f>
        <v>#REF!</v>
      </c>
      <c r="S57" s="38" t="e">
        <f>'LICENCIAS Y PRODUCTOS 2025-03'!#REF!</f>
        <v>#REF!</v>
      </c>
      <c r="T57" s="38" t="e">
        <f>'LICENCIAS Y PRODUCTOS 2025-03'!#REF!</f>
        <v>#REF!</v>
      </c>
      <c r="U57" s="38" t="e">
        <f>'LICENCIAS Y PRODUCTOS 2025-03'!#REF!</f>
        <v>#REF!</v>
      </c>
      <c r="V57" s="38" t="e">
        <f>'LICENCIAS Y PRODUCTOS 2025-03'!#REF!</f>
        <v>#REF!</v>
      </c>
      <c r="W57" s="38" t="e">
        <f>'LICENCIAS Y PRODUCTOS 2025-03'!#REF!</f>
        <v>#REF!</v>
      </c>
      <c r="X57" s="38" t="e">
        <f>'LICENCIAS Y PRODUCTOS 2025-03'!#REF!</f>
        <v>#REF!</v>
      </c>
      <c r="Y57" s="38" t="e">
        <f>'LICENCIAS Y PRODUCTOS 2025-03'!#REF!</f>
        <v>#REF!</v>
      </c>
      <c r="Z57" s="38" t="e">
        <f>'LICENCIAS Y PRODUCTOS 2025-03'!#REF!</f>
        <v>#REF!</v>
      </c>
      <c r="AA57" s="38" t="e">
        <f>'LICENCIAS Y PRODUCTOS 2025-03'!#REF!</f>
        <v>#REF!</v>
      </c>
      <c r="AB57" s="38" t="e">
        <f>'LICENCIAS Y PRODUCTOS 2025-03'!#REF!</f>
        <v>#REF!</v>
      </c>
      <c r="AC57" s="38" t="e">
        <f>'LICENCIAS Y PRODUCTOS 2025-03'!#REF!</f>
        <v>#REF!</v>
      </c>
      <c r="AD57" s="38" t="e">
        <f>'LICENCIAS Y PRODUCTOS 2025-03'!#REF!</f>
        <v>#REF!</v>
      </c>
      <c r="AE57" s="38" t="e">
        <f>'LICENCIAS Y PRODUCTOS 2025-03'!#REF!</f>
        <v>#REF!</v>
      </c>
      <c r="AF57" s="38" t="e">
        <f>'LICENCIAS Y PRODUCTOS 2025-03'!#REF!</f>
        <v>#REF!</v>
      </c>
      <c r="AG57" s="38" t="e">
        <f>'LICENCIAS Y PRODUCTOS 2025-03'!#REF!</f>
        <v>#REF!</v>
      </c>
      <c r="AH57" s="38" t="e">
        <f>'LICENCIAS Y PRODUCTOS 2025-03'!#REF!</f>
        <v>#REF!</v>
      </c>
      <c r="AI57" s="38" t="e">
        <f>'LICENCIAS Y PRODUCTOS 2025-03'!#REF!</f>
        <v>#REF!</v>
      </c>
      <c r="AJ57" s="38" t="e">
        <f>'LICENCIAS Y PRODUCTOS 2025-03'!#REF!</f>
        <v>#REF!</v>
      </c>
      <c r="AK57" s="38"/>
      <c r="AL57" s="13" t="e">
        <f>SUM(G57:AK57)</f>
        <v>#REF!</v>
      </c>
    </row>
    <row r="58" spans="4:40" ht="20.100000000000001" customHeight="1" thickTop="1" thickBot="1">
      <c r="D58" s="21" t="s">
        <v>21</v>
      </c>
      <c r="E58" s="2" t="s">
        <v>129</v>
      </c>
      <c r="F58" s="23" t="s">
        <v>112</v>
      </c>
      <c r="G58" s="38" t="e">
        <f>'LICENCIAS Y PRODUCTOS 2025-03'!#REF!</f>
        <v>#REF!</v>
      </c>
      <c r="H58" s="38" t="e">
        <f>'LICENCIAS Y PRODUCTOS 2025-03'!#REF!</f>
        <v>#REF!</v>
      </c>
      <c r="I58" s="38" t="e">
        <f>'LICENCIAS Y PRODUCTOS 2025-03'!#REF!</f>
        <v>#REF!</v>
      </c>
      <c r="J58" s="38" t="e">
        <f>'LICENCIAS Y PRODUCTOS 2025-03'!#REF!</f>
        <v>#REF!</v>
      </c>
      <c r="K58" s="38" t="e">
        <f>'LICENCIAS Y PRODUCTOS 2025-03'!#REF!</f>
        <v>#REF!</v>
      </c>
      <c r="L58" s="38" t="e">
        <f>'LICENCIAS Y PRODUCTOS 2025-03'!#REF!</f>
        <v>#REF!</v>
      </c>
      <c r="M58" s="38" t="e">
        <f>'LICENCIAS Y PRODUCTOS 2025-03'!#REF!</f>
        <v>#REF!</v>
      </c>
      <c r="N58" s="38" t="e">
        <f>'LICENCIAS Y PRODUCTOS 2025-03'!#REF!</f>
        <v>#REF!</v>
      </c>
      <c r="O58" s="38" t="e">
        <f>'LICENCIAS Y PRODUCTOS 2025-03'!#REF!</f>
        <v>#REF!</v>
      </c>
      <c r="P58" s="38" t="e">
        <f>'LICENCIAS Y PRODUCTOS 2025-03'!#REF!</f>
        <v>#REF!</v>
      </c>
      <c r="Q58" s="38" t="e">
        <f>'LICENCIAS Y PRODUCTOS 2025-03'!#REF!</f>
        <v>#REF!</v>
      </c>
      <c r="R58" s="38" t="e">
        <f>'LICENCIAS Y PRODUCTOS 2025-03'!#REF!</f>
        <v>#REF!</v>
      </c>
      <c r="S58" s="38" t="e">
        <f>'LICENCIAS Y PRODUCTOS 2025-03'!#REF!</f>
        <v>#REF!</v>
      </c>
      <c r="T58" s="38" t="e">
        <f>'LICENCIAS Y PRODUCTOS 2025-03'!#REF!</f>
        <v>#REF!</v>
      </c>
      <c r="U58" s="38" t="e">
        <f>'LICENCIAS Y PRODUCTOS 2025-03'!#REF!</f>
        <v>#REF!</v>
      </c>
      <c r="V58" s="38" t="e">
        <f>'LICENCIAS Y PRODUCTOS 2025-03'!#REF!</f>
        <v>#REF!</v>
      </c>
      <c r="W58" s="38" t="e">
        <f>'LICENCIAS Y PRODUCTOS 2025-03'!#REF!</f>
        <v>#REF!</v>
      </c>
      <c r="X58" s="38" t="e">
        <f>'LICENCIAS Y PRODUCTOS 2025-03'!#REF!</f>
        <v>#REF!</v>
      </c>
      <c r="Y58" s="38" t="e">
        <f>'LICENCIAS Y PRODUCTOS 2025-03'!#REF!</f>
        <v>#REF!</v>
      </c>
      <c r="Z58" s="38" t="e">
        <f>'LICENCIAS Y PRODUCTOS 2025-03'!#REF!</f>
        <v>#REF!</v>
      </c>
      <c r="AA58" s="38" t="e">
        <f>'LICENCIAS Y PRODUCTOS 2025-03'!#REF!</f>
        <v>#REF!</v>
      </c>
      <c r="AB58" s="38" t="e">
        <f>'LICENCIAS Y PRODUCTOS 2025-03'!#REF!</f>
        <v>#REF!</v>
      </c>
      <c r="AC58" s="38" t="e">
        <f>'LICENCIAS Y PRODUCTOS 2025-03'!#REF!</f>
        <v>#REF!</v>
      </c>
      <c r="AD58" s="38" t="e">
        <f>'LICENCIAS Y PRODUCTOS 2025-03'!#REF!</f>
        <v>#REF!</v>
      </c>
      <c r="AE58" s="38" t="e">
        <f>'LICENCIAS Y PRODUCTOS 2025-03'!#REF!</f>
        <v>#REF!</v>
      </c>
      <c r="AF58" s="38" t="e">
        <f>'LICENCIAS Y PRODUCTOS 2025-03'!#REF!</f>
        <v>#REF!</v>
      </c>
      <c r="AG58" s="38" t="e">
        <f>'LICENCIAS Y PRODUCTOS 2025-03'!#REF!</f>
        <v>#REF!</v>
      </c>
      <c r="AH58" s="38" t="e">
        <f>'LICENCIAS Y PRODUCTOS 2025-03'!#REF!</f>
        <v>#REF!</v>
      </c>
      <c r="AI58" s="38" t="e">
        <f>'LICENCIAS Y PRODUCTOS 2025-03'!#REF!</f>
        <v>#REF!</v>
      </c>
      <c r="AJ58" s="38" t="e">
        <f>'LICENCIAS Y PRODUCTOS 2025-03'!#REF!</f>
        <v>#REF!</v>
      </c>
      <c r="AK58" s="38"/>
      <c r="AL58" s="13" t="e">
        <f>SUM(G58:AK58)</f>
        <v>#REF!</v>
      </c>
    </row>
    <row r="59" spans="4:40" ht="20.100000000000001" customHeight="1" thickTop="1" thickBot="1">
      <c r="D59" s="21" t="s">
        <v>21</v>
      </c>
      <c r="E59" s="79" t="s">
        <v>131</v>
      </c>
      <c r="F59" s="41" t="s">
        <v>132</v>
      </c>
      <c r="G59" s="38" t="e">
        <f>'LICENCIAS Y PRODUCTOS 2025-03'!#REF!</f>
        <v>#REF!</v>
      </c>
      <c r="H59" s="38" t="e">
        <f>'LICENCIAS Y PRODUCTOS 2025-03'!#REF!</f>
        <v>#REF!</v>
      </c>
      <c r="I59" s="38" t="e">
        <f>'LICENCIAS Y PRODUCTOS 2025-03'!#REF!</f>
        <v>#REF!</v>
      </c>
      <c r="J59" s="38" t="e">
        <f>'LICENCIAS Y PRODUCTOS 2025-03'!#REF!</f>
        <v>#REF!</v>
      </c>
      <c r="K59" s="38" t="e">
        <f>'LICENCIAS Y PRODUCTOS 2025-03'!#REF!</f>
        <v>#REF!</v>
      </c>
      <c r="L59" s="38" t="e">
        <f>'LICENCIAS Y PRODUCTOS 2025-03'!#REF!</f>
        <v>#REF!</v>
      </c>
      <c r="M59" s="38" t="e">
        <f>'LICENCIAS Y PRODUCTOS 2025-03'!#REF!</f>
        <v>#REF!</v>
      </c>
      <c r="N59" s="38" t="e">
        <f>'LICENCIAS Y PRODUCTOS 2025-03'!#REF!</f>
        <v>#REF!</v>
      </c>
      <c r="O59" s="38" t="e">
        <f>'LICENCIAS Y PRODUCTOS 2025-03'!#REF!</f>
        <v>#REF!</v>
      </c>
      <c r="P59" s="38" t="e">
        <f>'LICENCIAS Y PRODUCTOS 2025-03'!#REF!</f>
        <v>#REF!</v>
      </c>
      <c r="Q59" s="38" t="e">
        <f>'LICENCIAS Y PRODUCTOS 2025-03'!#REF!</f>
        <v>#REF!</v>
      </c>
      <c r="R59" s="38" t="e">
        <f>'LICENCIAS Y PRODUCTOS 2025-03'!#REF!</f>
        <v>#REF!</v>
      </c>
      <c r="S59" s="38" t="e">
        <f>'LICENCIAS Y PRODUCTOS 2025-03'!#REF!</f>
        <v>#REF!</v>
      </c>
      <c r="T59" s="38" t="e">
        <f>'LICENCIAS Y PRODUCTOS 2025-03'!#REF!</f>
        <v>#REF!</v>
      </c>
      <c r="U59" s="38" t="e">
        <f>'LICENCIAS Y PRODUCTOS 2025-03'!#REF!</f>
        <v>#REF!</v>
      </c>
      <c r="V59" s="38" t="e">
        <f>'LICENCIAS Y PRODUCTOS 2025-03'!#REF!</f>
        <v>#REF!</v>
      </c>
      <c r="W59" s="38" t="e">
        <f>'LICENCIAS Y PRODUCTOS 2025-03'!#REF!</f>
        <v>#REF!</v>
      </c>
      <c r="X59" s="38" t="e">
        <f>'LICENCIAS Y PRODUCTOS 2025-03'!#REF!</f>
        <v>#REF!</v>
      </c>
      <c r="Y59" s="38" t="e">
        <f>'LICENCIAS Y PRODUCTOS 2025-03'!#REF!</f>
        <v>#REF!</v>
      </c>
      <c r="Z59" s="38" t="e">
        <f>'LICENCIAS Y PRODUCTOS 2025-03'!#REF!</f>
        <v>#REF!</v>
      </c>
      <c r="AA59" s="38" t="e">
        <f>'LICENCIAS Y PRODUCTOS 2025-03'!#REF!</f>
        <v>#REF!</v>
      </c>
      <c r="AB59" s="38" t="e">
        <f>'LICENCIAS Y PRODUCTOS 2025-03'!#REF!</f>
        <v>#REF!</v>
      </c>
      <c r="AC59" s="38" t="e">
        <f>'LICENCIAS Y PRODUCTOS 2025-03'!#REF!</f>
        <v>#REF!</v>
      </c>
      <c r="AD59" s="38" t="e">
        <f>'LICENCIAS Y PRODUCTOS 2025-03'!#REF!</f>
        <v>#REF!</v>
      </c>
      <c r="AE59" s="38" t="e">
        <f>'LICENCIAS Y PRODUCTOS 2025-03'!#REF!</f>
        <v>#REF!</v>
      </c>
      <c r="AF59" s="38" t="e">
        <f>'LICENCIAS Y PRODUCTOS 2025-03'!#REF!</f>
        <v>#REF!</v>
      </c>
      <c r="AG59" s="38" t="e">
        <f>'LICENCIAS Y PRODUCTOS 2025-03'!#REF!</f>
        <v>#REF!</v>
      </c>
      <c r="AH59" s="38" t="e">
        <f>'LICENCIAS Y PRODUCTOS 2025-03'!#REF!</f>
        <v>#REF!</v>
      </c>
      <c r="AI59" s="38" t="e">
        <f>'LICENCIAS Y PRODUCTOS 2025-03'!#REF!</f>
        <v>#REF!</v>
      </c>
      <c r="AJ59" s="38" t="e">
        <f>'LICENCIAS Y PRODUCTOS 2025-03'!#REF!</f>
        <v>#REF!</v>
      </c>
      <c r="AK59" s="38"/>
      <c r="AL59" s="13" t="e">
        <f>SUM(G59:AK59)</f>
        <v>#REF!</v>
      </c>
    </row>
    <row r="60" spans="4:40" ht="20.100000000000001" customHeight="1" thickTop="1" thickBot="1">
      <c r="D60" s="21" t="s">
        <v>27</v>
      </c>
      <c r="E60" s="2" t="s">
        <v>28</v>
      </c>
      <c r="F60" s="23" t="s">
        <v>113</v>
      </c>
      <c r="G60" s="38" t="e">
        <f>'LICENCIAS Y PRODUCTOS 2025-03'!#REF!</f>
        <v>#REF!</v>
      </c>
      <c r="H60" s="38" t="e">
        <f>'LICENCIAS Y PRODUCTOS 2025-03'!#REF!</f>
        <v>#REF!</v>
      </c>
      <c r="I60" s="38" t="e">
        <f>'LICENCIAS Y PRODUCTOS 2025-03'!#REF!</f>
        <v>#REF!</v>
      </c>
      <c r="J60" s="38" t="e">
        <f>'LICENCIAS Y PRODUCTOS 2025-03'!#REF!</f>
        <v>#REF!</v>
      </c>
      <c r="K60" s="38" t="e">
        <f>'LICENCIAS Y PRODUCTOS 2025-03'!#REF!</f>
        <v>#REF!</v>
      </c>
      <c r="L60" s="38" t="e">
        <f>'LICENCIAS Y PRODUCTOS 2025-03'!#REF!</f>
        <v>#REF!</v>
      </c>
      <c r="M60" s="38" t="e">
        <f>'LICENCIAS Y PRODUCTOS 2025-03'!#REF!</f>
        <v>#REF!</v>
      </c>
      <c r="N60" s="38" t="e">
        <f>'LICENCIAS Y PRODUCTOS 2025-03'!#REF!</f>
        <v>#REF!</v>
      </c>
      <c r="O60" s="38" t="e">
        <f>'LICENCIAS Y PRODUCTOS 2025-03'!#REF!</f>
        <v>#REF!</v>
      </c>
      <c r="P60" s="38" t="e">
        <f>'LICENCIAS Y PRODUCTOS 2025-03'!#REF!</f>
        <v>#REF!</v>
      </c>
      <c r="Q60" s="38" t="e">
        <f>'LICENCIAS Y PRODUCTOS 2025-03'!#REF!</f>
        <v>#REF!</v>
      </c>
      <c r="R60" s="38" t="e">
        <f>'LICENCIAS Y PRODUCTOS 2025-03'!#REF!</f>
        <v>#REF!</v>
      </c>
      <c r="S60" s="38" t="e">
        <f>'LICENCIAS Y PRODUCTOS 2025-03'!#REF!</f>
        <v>#REF!</v>
      </c>
      <c r="T60" s="38" t="e">
        <f>'LICENCIAS Y PRODUCTOS 2025-03'!#REF!</f>
        <v>#REF!</v>
      </c>
      <c r="U60" s="38" t="e">
        <f>'LICENCIAS Y PRODUCTOS 2025-03'!#REF!</f>
        <v>#REF!</v>
      </c>
      <c r="V60" s="38" t="e">
        <f>'LICENCIAS Y PRODUCTOS 2025-03'!#REF!</f>
        <v>#REF!</v>
      </c>
      <c r="W60" s="38" t="e">
        <f>'LICENCIAS Y PRODUCTOS 2025-03'!#REF!</f>
        <v>#REF!</v>
      </c>
      <c r="X60" s="38" t="e">
        <f>'LICENCIAS Y PRODUCTOS 2025-03'!#REF!</f>
        <v>#REF!</v>
      </c>
      <c r="Y60" s="38" t="e">
        <f>'LICENCIAS Y PRODUCTOS 2025-03'!#REF!</f>
        <v>#REF!</v>
      </c>
      <c r="Z60" s="38" t="e">
        <f>'LICENCIAS Y PRODUCTOS 2025-03'!#REF!</f>
        <v>#REF!</v>
      </c>
      <c r="AA60" s="38" t="e">
        <f>'LICENCIAS Y PRODUCTOS 2025-03'!#REF!</f>
        <v>#REF!</v>
      </c>
      <c r="AB60" s="38" t="e">
        <f>'LICENCIAS Y PRODUCTOS 2025-03'!#REF!</f>
        <v>#REF!</v>
      </c>
      <c r="AC60" s="38" t="e">
        <f>'LICENCIAS Y PRODUCTOS 2025-03'!#REF!</f>
        <v>#REF!</v>
      </c>
      <c r="AD60" s="38" t="e">
        <f>'LICENCIAS Y PRODUCTOS 2025-03'!#REF!</f>
        <v>#REF!</v>
      </c>
      <c r="AE60" s="38" t="e">
        <f>'LICENCIAS Y PRODUCTOS 2025-03'!#REF!</f>
        <v>#REF!</v>
      </c>
      <c r="AF60" s="38" t="e">
        <f>'LICENCIAS Y PRODUCTOS 2025-03'!#REF!</f>
        <v>#REF!</v>
      </c>
      <c r="AG60" s="38" t="e">
        <f>'LICENCIAS Y PRODUCTOS 2025-03'!#REF!</f>
        <v>#REF!</v>
      </c>
      <c r="AH60" s="38" t="e">
        <f>'LICENCIAS Y PRODUCTOS 2025-03'!#REF!</f>
        <v>#REF!</v>
      </c>
      <c r="AI60" s="38" t="e">
        <f>'LICENCIAS Y PRODUCTOS 2025-03'!#REF!</f>
        <v>#REF!</v>
      </c>
      <c r="AJ60" s="38" t="e">
        <f>'LICENCIAS Y PRODUCTOS 2025-03'!#REF!</f>
        <v>#REF!</v>
      </c>
      <c r="AK60" s="38"/>
      <c r="AL60" s="13" t="e">
        <f>SUM(G60:AK60)</f>
        <v>#REF!</v>
      </c>
      <c r="AM60" s="28" t="e">
        <f>SUM(AL60)</f>
        <v>#REF!</v>
      </c>
      <c r="AN60" t="s">
        <v>27</v>
      </c>
    </row>
    <row r="61" spans="4:40" ht="16.5" thickTop="1" thickBot="1">
      <c r="D61" s="11"/>
      <c r="E61" s="12" t="s">
        <v>62</v>
      </c>
      <c r="F61" s="12"/>
      <c r="G61" s="43" t="e">
        <f>SUM(Table145[AT])</f>
        <v>#REF!</v>
      </c>
      <c r="H61" s="43" t="e">
        <f>SUM(Table145[BE])</f>
        <v>#REF!</v>
      </c>
      <c r="I61" s="43" t="e">
        <f>SUM(Table145[BG])</f>
        <v>#REF!</v>
      </c>
      <c r="J61" s="43" t="e">
        <f>SUM(Table145[CY])</f>
        <v>#REF!</v>
      </c>
      <c r="K61" s="43" t="e">
        <f>SUM(Table145[CZ])</f>
        <v>#REF!</v>
      </c>
      <c r="L61" s="43" t="e">
        <f>SUM(Table145[DE])</f>
        <v>#REF!</v>
      </c>
      <c r="M61" s="43" t="e">
        <f>SUM(Table145[DK])</f>
        <v>#REF!</v>
      </c>
      <c r="N61" s="43" t="e">
        <f>SUM(Table145[EE])</f>
        <v>#REF!</v>
      </c>
      <c r="O61" s="43" t="e">
        <f>SUM(Table145[EL])</f>
        <v>#REF!</v>
      </c>
      <c r="P61" s="43" t="e">
        <f>SUM(Table145[ES])</f>
        <v>#REF!</v>
      </c>
      <c r="Q61" s="43" t="e">
        <f>SUM(Table145[FI])</f>
        <v>#REF!</v>
      </c>
      <c r="R61" s="43" t="e">
        <f>SUM(Table145[FR])</f>
        <v>#REF!</v>
      </c>
      <c r="S61" s="43" t="e">
        <f>SUM(Table145[HR])</f>
        <v>#REF!</v>
      </c>
      <c r="T61" s="43" t="e">
        <f>SUM(Table145[HU])</f>
        <v>#REF!</v>
      </c>
      <c r="U61" s="43" t="e">
        <f>SUM(Table145[IE])</f>
        <v>#REF!</v>
      </c>
      <c r="V61" s="43" t="e">
        <f>SUM(Table145[IS])</f>
        <v>#REF!</v>
      </c>
      <c r="W61" s="43" t="e">
        <f>SUM(Table145[IT])</f>
        <v>#REF!</v>
      </c>
      <c r="X61" s="43" t="e">
        <f>SUM(Table145[LT])</f>
        <v>#REF!</v>
      </c>
      <c r="Y61" s="43" t="e">
        <f>SUM(Table145[LU])</f>
        <v>#REF!</v>
      </c>
      <c r="Z61" s="43" t="e">
        <f>SUM(Table145[LV])</f>
        <v>#REF!</v>
      </c>
      <c r="AA61" s="43" t="e">
        <f>SUM(Table145[MT])</f>
        <v>#REF!</v>
      </c>
      <c r="AB61" s="43" t="e">
        <f>SUM(Table145[NL])</f>
        <v>#REF!</v>
      </c>
      <c r="AC61" s="43" t="e">
        <f>SUM(Table145[NO])</f>
        <v>#REF!</v>
      </c>
      <c r="AD61" s="43" t="e">
        <f>SUM(Table145[PL])</f>
        <v>#REF!</v>
      </c>
      <c r="AE61" s="43" t="e">
        <f>SUM(Table145[PT])</f>
        <v>#REF!</v>
      </c>
      <c r="AF61" s="43" t="e">
        <f>SUM(Table145[RO])</f>
        <v>#REF!</v>
      </c>
      <c r="AG61" s="43" t="e">
        <f>SUM(Table145[SE])</f>
        <v>#REF!</v>
      </c>
      <c r="AH61" s="43" t="e">
        <f>SUM(Table145[SI])</f>
        <v>#REF!</v>
      </c>
      <c r="AI61" s="43" t="e">
        <f>SUM(Table145[SK])</f>
        <v>#REF!</v>
      </c>
      <c r="AJ61" s="43">
        <f>SUM(Table145[Category2])</f>
        <v>0</v>
      </c>
      <c r="AK61" s="43" t="e">
        <f>SUM(Table145[SK])</f>
        <v>#REF!</v>
      </c>
      <c r="AL61" s="19" t="e">
        <f>SUM(AL35:AL60)</f>
        <v>#REF!</v>
      </c>
      <c r="AM61" s="28"/>
    </row>
    <row r="62" spans="4:40" ht="15.75" thickTop="1">
      <c r="AJ62" s="28"/>
    </row>
    <row r="63" spans="4:40">
      <c r="AM63" s="75" t="e">
        <f>AL61/A_BackendPGCompil_March2025!AJ61</f>
        <v>#REF!</v>
      </c>
    </row>
    <row r="64" spans="4:40">
      <c r="AG64" s="85"/>
      <c r="AH64" s="82"/>
      <c r="AI64" s="82"/>
    </row>
    <row r="65" spans="31:35">
      <c r="AE65" s="28"/>
      <c r="AF65" s="28"/>
      <c r="AH65" s="83"/>
      <c r="AI65" s="84"/>
    </row>
    <row r="66" spans="31:35">
      <c r="AE66" s="28"/>
      <c r="AF66" s="28"/>
      <c r="AH66" s="82"/>
      <c r="AI66" s="84"/>
    </row>
  </sheetData>
  <autoFilter ref="AJ34:AJ61" xr:uid="{00000000-0009-0000-0000-000002000000}"/>
  <conditionalFormatting sqref="G1:AI1048576">
    <cfRule type="cellIs" dxfId="13" priority="3" operator="lessThan">
      <formula>0</formula>
    </cfRule>
  </conditionalFormatting>
  <conditionalFormatting sqref="G4:AJ29 G35:AJ60">
    <cfRule type="cellIs" dxfId="12" priority="2" operator="greaterThan">
      <formula>0</formula>
    </cfRule>
  </conditionalFormatting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27322-D9EF-4E77-9FF3-DA0C5CB3B4C8}">
  <sheetPr>
    <tabColor rgb="FF31639B"/>
  </sheetPr>
  <dimension ref="B2:AG72"/>
  <sheetViews>
    <sheetView view="pageBreakPreview" topLeftCell="A37" zoomScale="50" zoomScaleNormal="130" zoomScaleSheetLayoutView="50" workbookViewId="0">
      <selection activeCell="R67" sqref="R67"/>
    </sheetView>
  </sheetViews>
  <sheetFormatPr baseColWidth="10" defaultColWidth="11.42578125" defaultRowHeight="15"/>
  <sheetData>
    <row r="2" spans="2:31">
      <c r="C2" t="s">
        <v>35</v>
      </c>
      <c r="D2" t="s">
        <v>36</v>
      </c>
      <c r="E2" t="s">
        <v>37</v>
      </c>
      <c r="F2" t="s">
        <v>39</v>
      </c>
      <c r="G2" t="s">
        <v>33</v>
      </c>
      <c r="H2" t="s">
        <v>44</v>
      </c>
      <c r="I2" t="s">
        <v>40</v>
      </c>
      <c r="J2" t="s">
        <v>41</v>
      </c>
      <c r="K2" t="s">
        <v>135</v>
      </c>
      <c r="L2" t="s">
        <v>59</v>
      </c>
      <c r="M2" t="s">
        <v>42</v>
      </c>
      <c r="N2" t="s">
        <v>43</v>
      </c>
      <c r="O2" t="s">
        <v>137</v>
      </c>
      <c r="P2" t="s">
        <v>45</v>
      </c>
      <c r="Q2" t="s">
        <v>47</v>
      </c>
      <c r="R2" t="s">
        <v>46</v>
      </c>
      <c r="S2" t="s">
        <v>48</v>
      </c>
      <c r="T2" t="s">
        <v>50</v>
      </c>
      <c r="U2" t="s">
        <v>51</v>
      </c>
      <c r="V2" t="s">
        <v>49</v>
      </c>
      <c r="W2" t="s">
        <v>52</v>
      </c>
      <c r="X2" t="s">
        <v>53</v>
      </c>
      <c r="Y2" t="s">
        <v>54</v>
      </c>
      <c r="Z2" t="s">
        <v>121</v>
      </c>
      <c r="AA2" t="s">
        <v>55</v>
      </c>
      <c r="AB2" t="s">
        <v>56</v>
      </c>
      <c r="AC2" t="s">
        <v>60</v>
      </c>
      <c r="AD2" t="s">
        <v>58</v>
      </c>
      <c r="AE2" t="s">
        <v>57</v>
      </c>
    </row>
    <row r="3" spans="2:31">
      <c r="B3" t="s">
        <v>172</v>
      </c>
      <c r="C3">
        <v>8</v>
      </c>
      <c r="D3">
        <v>2</v>
      </c>
      <c r="E3">
        <v>1</v>
      </c>
      <c r="F3">
        <v>0</v>
      </c>
      <c r="G3">
        <v>0</v>
      </c>
      <c r="H3">
        <v>17</v>
      </c>
      <c r="I3">
        <v>1</v>
      </c>
      <c r="J3">
        <v>4</v>
      </c>
      <c r="K3">
        <v>0</v>
      </c>
      <c r="L3">
        <v>16</v>
      </c>
      <c r="M3">
        <v>0</v>
      </c>
      <c r="N3">
        <v>9</v>
      </c>
      <c r="O3">
        <v>1</v>
      </c>
      <c r="P3">
        <v>0</v>
      </c>
      <c r="Q3">
        <v>7</v>
      </c>
      <c r="R3">
        <v>0</v>
      </c>
      <c r="S3">
        <v>19</v>
      </c>
      <c r="T3">
        <v>0</v>
      </c>
      <c r="U3">
        <v>0</v>
      </c>
      <c r="V3">
        <v>0</v>
      </c>
      <c r="W3">
        <v>0</v>
      </c>
      <c r="X3">
        <v>7</v>
      </c>
      <c r="Y3">
        <v>0</v>
      </c>
      <c r="Z3">
        <v>2</v>
      </c>
      <c r="AA3">
        <v>1</v>
      </c>
      <c r="AB3">
        <v>5</v>
      </c>
      <c r="AC3">
        <v>3</v>
      </c>
      <c r="AD3">
        <v>1</v>
      </c>
      <c r="AE3">
        <v>0</v>
      </c>
    </row>
    <row r="4" spans="2:31">
      <c r="B4" t="s">
        <v>228</v>
      </c>
      <c r="C4">
        <v>0</v>
      </c>
      <c r="D4">
        <v>0</v>
      </c>
      <c r="E4">
        <v>0</v>
      </c>
      <c r="F4">
        <v>0</v>
      </c>
      <c r="G4">
        <v>1</v>
      </c>
      <c r="H4">
        <v>6</v>
      </c>
      <c r="I4">
        <v>5</v>
      </c>
      <c r="J4">
        <v>0</v>
      </c>
      <c r="K4">
        <v>0</v>
      </c>
      <c r="L4">
        <v>1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1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3</v>
      </c>
      <c r="AD4">
        <v>0</v>
      </c>
      <c r="AE4">
        <v>0</v>
      </c>
    </row>
    <row r="5" spans="2:31">
      <c r="B5" t="s">
        <v>229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</row>
    <row r="6" spans="2:31">
      <c r="B6" t="s">
        <v>226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</row>
    <row r="7" spans="2:31">
      <c r="B7" t="s">
        <v>171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</row>
    <row r="8" spans="2:31">
      <c r="B8" t="s">
        <v>119</v>
      </c>
      <c r="C8">
        <v>24</v>
      </c>
      <c r="D8">
        <v>19</v>
      </c>
      <c r="E8">
        <v>2</v>
      </c>
      <c r="F8">
        <v>0</v>
      </c>
      <c r="G8">
        <v>7</v>
      </c>
      <c r="H8">
        <v>85</v>
      </c>
      <c r="I8">
        <v>10</v>
      </c>
      <c r="J8">
        <v>4</v>
      </c>
      <c r="K8">
        <v>1</v>
      </c>
      <c r="L8">
        <v>71</v>
      </c>
      <c r="M8">
        <v>3</v>
      </c>
      <c r="N8">
        <v>18</v>
      </c>
      <c r="O8">
        <v>5</v>
      </c>
      <c r="P8">
        <v>3</v>
      </c>
      <c r="Q8">
        <v>4</v>
      </c>
      <c r="R8">
        <v>0</v>
      </c>
      <c r="S8">
        <v>50</v>
      </c>
      <c r="T8">
        <v>1</v>
      </c>
      <c r="U8">
        <v>6</v>
      </c>
      <c r="V8">
        <v>2</v>
      </c>
      <c r="W8">
        <v>1</v>
      </c>
      <c r="X8">
        <v>28</v>
      </c>
      <c r="Y8">
        <v>0</v>
      </c>
      <c r="Z8">
        <v>13</v>
      </c>
      <c r="AA8">
        <v>7</v>
      </c>
      <c r="AB8">
        <v>17</v>
      </c>
      <c r="AC8">
        <v>2</v>
      </c>
      <c r="AD8">
        <v>7</v>
      </c>
      <c r="AE8">
        <v>1</v>
      </c>
    </row>
    <row r="9" spans="2:31">
      <c r="B9" t="s">
        <v>125</v>
      </c>
      <c r="C9">
        <v>6</v>
      </c>
      <c r="D9">
        <v>4</v>
      </c>
      <c r="E9">
        <v>0</v>
      </c>
      <c r="F9">
        <v>0</v>
      </c>
      <c r="G9">
        <v>2</v>
      </c>
      <c r="H9">
        <v>14</v>
      </c>
      <c r="I9">
        <v>8</v>
      </c>
      <c r="J9">
        <v>4</v>
      </c>
      <c r="K9">
        <v>0</v>
      </c>
      <c r="L9">
        <v>10</v>
      </c>
      <c r="M9">
        <v>0</v>
      </c>
      <c r="N9">
        <v>5</v>
      </c>
      <c r="O9">
        <v>0</v>
      </c>
      <c r="P9">
        <v>0</v>
      </c>
      <c r="Q9">
        <v>0</v>
      </c>
      <c r="R9">
        <v>0</v>
      </c>
      <c r="S9">
        <v>8</v>
      </c>
      <c r="T9">
        <v>1</v>
      </c>
      <c r="U9">
        <v>0</v>
      </c>
      <c r="V9">
        <v>0</v>
      </c>
      <c r="W9">
        <v>0</v>
      </c>
      <c r="X9">
        <v>4</v>
      </c>
      <c r="Y9">
        <v>0</v>
      </c>
      <c r="Z9">
        <v>5</v>
      </c>
      <c r="AA9">
        <v>0</v>
      </c>
      <c r="AB9">
        <v>0</v>
      </c>
      <c r="AC9">
        <v>1</v>
      </c>
      <c r="AD9">
        <v>1</v>
      </c>
      <c r="AE9">
        <v>0</v>
      </c>
    </row>
    <row r="10" spans="2:31">
      <c r="B10" t="s">
        <v>126</v>
      </c>
      <c r="C10">
        <v>7</v>
      </c>
      <c r="D10">
        <v>5</v>
      </c>
      <c r="E10">
        <v>0</v>
      </c>
      <c r="F10">
        <v>0</v>
      </c>
      <c r="G10">
        <v>0</v>
      </c>
      <c r="H10">
        <v>33</v>
      </c>
      <c r="I10">
        <v>0</v>
      </c>
      <c r="J10">
        <v>1</v>
      </c>
      <c r="K10">
        <v>0</v>
      </c>
      <c r="L10">
        <v>28</v>
      </c>
      <c r="M10">
        <v>0</v>
      </c>
      <c r="N10">
        <v>7</v>
      </c>
      <c r="O10">
        <v>1</v>
      </c>
      <c r="P10">
        <v>0</v>
      </c>
      <c r="Q10">
        <v>0</v>
      </c>
      <c r="R10">
        <v>0</v>
      </c>
      <c r="S10">
        <v>27</v>
      </c>
      <c r="T10">
        <v>0</v>
      </c>
      <c r="U10">
        <v>0</v>
      </c>
      <c r="V10">
        <v>0</v>
      </c>
      <c r="W10">
        <v>0</v>
      </c>
      <c r="X10">
        <v>4</v>
      </c>
      <c r="Y10">
        <v>0</v>
      </c>
      <c r="Z10">
        <v>2</v>
      </c>
      <c r="AA10">
        <v>0</v>
      </c>
      <c r="AB10">
        <v>0</v>
      </c>
      <c r="AC10">
        <v>1</v>
      </c>
      <c r="AD10">
        <v>2</v>
      </c>
      <c r="AE10">
        <v>0</v>
      </c>
    </row>
    <row r="11" spans="2:31">
      <c r="B11" t="s">
        <v>6</v>
      </c>
      <c r="C11">
        <v>13</v>
      </c>
      <c r="D11">
        <v>10</v>
      </c>
      <c r="E11">
        <v>1</v>
      </c>
      <c r="F11">
        <v>0</v>
      </c>
      <c r="G11">
        <v>5</v>
      </c>
      <c r="H11">
        <v>30</v>
      </c>
      <c r="I11">
        <v>4</v>
      </c>
      <c r="J11">
        <v>4</v>
      </c>
      <c r="K11">
        <v>1</v>
      </c>
      <c r="L11">
        <v>46</v>
      </c>
      <c r="M11">
        <v>0</v>
      </c>
      <c r="N11">
        <v>15</v>
      </c>
      <c r="O11">
        <v>2</v>
      </c>
      <c r="P11">
        <v>1</v>
      </c>
      <c r="Q11">
        <v>4</v>
      </c>
      <c r="R11">
        <v>0</v>
      </c>
      <c r="S11">
        <v>29</v>
      </c>
      <c r="T11">
        <v>1</v>
      </c>
      <c r="U11">
        <v>0</v>
      </c>
      <c r="V11">
        <v>3</v>
      </c>
      <c r="W11">
        <v>0</v>
      </c>
      <c r="X11">
        <v>9</v>
      </c>
      <c r="Y11">
        <v>0</v>
      </c>
      <c r="Z11">
        <v>8</v>
      </c>
      <c r="AA11">
        <v>3</v>
      </c>
      <c r="AB11">
        <v>3</v>
      </c>
      <c r="AC11">
        <v>0</v>
      </c>
      <c r="AD11">
        <v>3</v>
      </c>
      <c r="AE11">
        <v>1</v>
      </c>
    </row>
    <row r="12" spans="2:31">
      <c r="B12" t="s">
        <v>7</v>
      </c>
      <c r="C12">
        <v>3</v>
      </c>
      <c r="D12">
        <v>7</v>
      </c>
      <c r="E12">
        <v>1</v>
      </c>
      <c r="F12">
        <v>0</v>
      </c>
      <c r="G12">
        <v>2</v>
      </c>
      <c r="H12">
        <v>24</v>
      </c>
      <c r="I12">
        <v>7</v>
      </c>
      <c r="J12">
        <v>3</v>
      </c>
      <c r="K12">
        <v>0</v>
      </c>
      <c r="L12">
        <v>23</v>
      </c>
      <c r="M12">
        <v>0</v>
      </c>
      <c r="N12">
        <v>7</v>
      </c>
      <c r="O12">
        <v>1</v>
      </c>
      <c r="P12">
        <v>1</v>
      </c>
      <c r="Q12">
        <v>1</v>
      </c>
      <c r="R12">
        <v>0</v>
      </c>
      <c r="S12">
        <v>14</v>
      </c>
      <c r="T12">
        <v>1</v>
      </c>
      <c r="U12">
        <v>0</v>
      </c>
      <c r="V12">
        <v>1</v>
      </c>
      <c r="W12">
        <v>0</v>
      </c>
      <c r="X12">
        <v>8</v>
      </c>
      <c r="Y12">
        <v>0</v>
      </c>
      <c r="Z12">
        <v>6</v>
      </c>
      <c r="AA12">
        <v>1</v>
      </c>
      <c r="AB12">
        <v>1</v>
      </c>
      <c r="AC12">
        <v>0</v>
      </c>
      <c r="AD12">
        <v>3</v>
      </c>
      <c r="AE12">
        <v>0</v>
      </c>
    </row>
    <row r="13" spans="2:31">
      <c r="B13" t="s">
        <v>8</v>
      </c>
      <c r="C13">
        <v>3</v>
      </c>
      <c r="D13">
        <v>2</v>
      </c>
      <c r="E13">
        <v>0</v>
      </c>
      <c r="F13">
        <v>0</v>
      </c>
      <c r="G13">
        <v>0</v>
      </c>
      <c r="H13">
        <v>9</v>
      </c>
      <c r="I13">
        <v>0</v>
      </c>
      <c r="J13">
        <v>0</v>
      </c>
      <c r="K13">
        <v>0</v>
      </c>
      <c r="L13">
        <v>12</v>
      </c>
      <c r="M13">
        <v>0</v>
      </c>
      <c r="N13">
        <v>3</v>
      </c>
      <c r="O13">
        <v>0</v>
      </c>
      <c r="P13">
        <v>0</v>
      </c>
      <c r="Q13">
        <v>0</v>
      </c>
      <c r="R13">
        <v>0</v>
      </c>
      <c r="S13">
        <v>16</v>
      </c>
      <c r="T13">
        <v>0</v>
      </c>
      <c r="U13">
        <v>0</v>
      </c>
      <c r="V13">
        <v>0</v>
      </c>
      <c r="W13">
        <v>0</v>
      </c>
      <c r="X13">
        <v>2</v>
      </c>
      <c r="Y13">
        <v>0</v>
      </c>
      <c r="Z13">
        <v>0</v>
      </c>
      <c r="AA13">
        <v>0</v>
      </c>
      <c r="AB13">
        <v>0</v>
      </c>
      <c r="AC13">
        <v>0</v>
      </c>
      <c r="AD13">
        <v>2</v>
      </c>
      <c r="AE13">
        <v>0</v>
      </c>
    </row>
    <row r="14" spans="2:31">
      <c r="B14" t="s">
        <v>123</v>
      </c>
      <c r="C14">
        <v>2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19</v>
      </c>
      <c r="M14">
        <v>0</v>
      </c>
      <c r="N14">
        <v>9</v>
      </c>
      <c r="O14">
        <v>1</v>
      </c>
      <c r="P14">
        <v>0</v>
      </c>
      <c r="Q14">
        <v>1</v>
      </c>
      <c r="R14">
        <v>0</v>
      </c>
      <c r="S14">
        <v>191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4</v>
      </c>
      <c r="AA14">
        <v>0</v>
      </c>
      <c r="AB14">
        <v>3</v>
      </c>
      <c r="AC14">
        <v>0</v>
      </c>
      <c r="AD14">
        <v>0</v>
      </c>
      <c r="AE14">
        <v>0</v>
      </c>
    </row>
    <row r="15" spans="2:31">
      <c r="B15" t="s">
        <v>10</v>
      </c>
      <c r="C15">
        <v>7</v>
      </c>
      <c r="D15">
        <v>1</v>
      </c>
      <c r="E15">
        <v>2</v>
      </c>
      <c r="F15">
        <v>0</v>
      </c>
      <c r="G15">
        <v>3</v>
      </c>
      <c r="H15">
        <v>9</v>
      </c>
      <c r="I15">
        <v>30</v>
      </c>
      <c r="J15">
        <v>0</v>
      </c>
      <c r="K15">
        <v>0</v>
      </c>
      <c r="L15">
        <v>3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18</v>
      </c>
      <c r="T15">
        <v>0</v>
      </c>
      <c r="U15">
        <v>0</v>
      </c>
      <c r="V15">
        <v>0</v>
      </c>
      <c r="W15">
        <v>0</v>
      </c>
      <c r="X15">
        <v>5</v>
      </c>
      <c r="Y15">
        <v>10</v>
      </c>
      <c r="Z15">
        <v>2</v>
      </c>
      <c r="AA15">
        <v>1</v>
      </c>
      <c r="AB15">
        <v>1</v>
      </c>
      <c r="AC15">
        <v>5</v>
      </c>
      <c r="AD15">
        <v>0</v>
      </c>
      <c r="AE15">
        <v>0</v>
      </c>
    </row>
    <row r="16" spans="2:31">
      <c r="B16" t="s">
        <v>11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1</v>
      </c>
      <c r="AD16">
        <v>0</v>
      </c>
      <c r="AE16">
        <v>0</v>
      </c>
    </row>
    <row r="17" spans="2:31">
      <c r="B17" t="s">
        <v>13</v>
      </c>
      <c r="C17">
        <v>0</v>
      </c>
      <c r="D17">
        <v>3</v>
      </c>
      <c r="E17">
        <v>0</v>
      </c>
      <c r="F17">
        <v>3</v>
      </c>
      <c r="G17">
        <v>0</v>
      </c>
      <c r="H17">
        <v>27</v>
      </c>
      <c r="I17">
        <v>5</v>
      </c>
      <c r="J17">
        <v>1</v>
      </c>
      <c r="K17">
        <v>18</v>
      </c>
      <c r="L17">
        <v>37</v>
      </c>
      <c r="M17">
        <v>1</v>
      </c>
      <c r="N17">
        <v>39</v>
      </c>
      <c r="O17">
        <v>0</v>
      </c>
      <c r="P17">
        <v>0</v>
      </c>
      <c r="Q17">
        <v>0</v>
      </c>
      <c r="R17">
        <v>0</v>
      </c>
      <c r="S17">
        <v>8</v>
      </c>
      <c r="T17">
        <v>3</v>
      </c>
      <c r="U17">
        <v>2</v>
      </c>
      <c r="V17">
        <v>0</v>
      </c>
      <c r="W17">
        <v>0</v>
      </c>
      <c r="X17">
        <v>7</v>
      </c>
      <c r="Y17">
        <v>0</v>
      </c>
      <c r="Z17">
        <v>4</v>
      </c>
      <c r="AA17">
        <v>5</v>
      </c>
      <c r="AB17">
        <v>19</v>
      </c>
      <c r="AC17">
        <v>7</v>
      </c>
      <c r="AD17">
        <v>1</v>
      </c>
      <c r="AE17">
        <v>0</v>
      </c>
    </row>
    <row r="18" spans="2:31">
      <c r="B18" t="s">
        <v>130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</row>
    <row r="19" spans="2:31">
      <c r="B19" t="s">
        <v>24</v>
      </c>
      <c r="C19">
        <v>1</v>
      </c>
      <c r="D19">
        <v>0</v>
      </c>
      <c r="E19">
        <v>0</v>
      </c>
      <c r="F19">
        <v>0</v>
      </c>
      <c r="G19">
        <v>0</v>
      </c>
      <c r="H19">
        <v>4</v>
      </c>
      <c r="I19">
        <v>0</v>
      </c>
      <c r="J19">
        <v>0</v>
      </c>
      <c r="K19">
        <v>0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1</v>
      </c>
      <c r="AD19">
        <v>0</v>
      </c>
      <c r="AE19">
        <v>0</v>
      </c>
    </row>
    <row r="20" spans="2:31">
      <c r="B20" t="s">
        <v>173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6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</row>
    <row r="21" spans="2:31">
      <c r="B21" t="s">
        <v>26</v>
      </c>
      <c r="C21">
        <v>1</v>
      </c>
      <c r="D21">
        <v>0</v>
      </c>
      <c r="E21">
        <v>0</v>
      </c>
      <c r="F21">
        <v>0</v>
      </c>
      <c r="G21">
        <v>6</v>
      </c>
      <c r="H21">
        <v>1</v>
      </c>
      <c r="I21">
        <v>55</v>
      </c>
      <c r="J21">
        <v>0</v>
      </c>
      <c r="K21">
        <v>0</v>
      </c>
      <c r="L21">
        <v>1</v>
      </c>
      <c r="M21">
        <v>1</v>
      </c>
      <c r="N21">
        <v>0</v>
      </c>
      <c r="O21">
        <v>0</v>
      </c>
      <c r="P21">
        <v>0</v>
      </c>
      <c r="Q21">
        <v>0</v>
      </c>
      <c r="R21">
        <v>0</v>
      </c>
      <c r="S21">
        <v>5</v>
      </c>
      <c r="T21">
        <v>0</v>
      </c>
      <c r="U21">
        <v>0</v>
      </c>
      <c r="V21">
        <v>0</v>
      </c>
      <c r="W21">
        <v>0</v>
      </c>
      <c r="X21">
        <v>1</v>
      </c>
      <c r="Y21">
        <v>1</v>
      </c>
      <c r="Z21">
        <v>1</v>
      </c>
      <c r="AA21">
        <v>0</v>
      </c>
      <c r="AB21">
        <v>9</v>
      </c>
      <c r="AC21">
        <v>1</v>
      </c>
      <c r="AD21">
        <v>0</v>
      </c>
      <c r="AE21">
        <v>0</v>
      </c>
    </row>
    <row r="22" spans="2:31">
      <c r="B22" t="s">
        <v>143</v>
      </c>
      <c r="C22">
        <v>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</row>
    <row r="23" spans="2:31">
      <c r="B23" t="s">
        <v>181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3</v>
      </c>
      <c r="M23">
        <v>0</v>
      </c>
      <c r="N23">
        <v>5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</row>
    <row r="24" spans="2:31">
      <c r="B24" t="s">
        <v>20</v>
      </c>
      <c r="C24">
        <v>2</v>
      </c>
      <c r="D24">
        <v>4</v>
      </c>
      <c r="E24">
        <v>0</v>
      </c>
      <c r="F24">
        <v>0</v>
      </c>
      <c r="G24">
        <v>4</v>
      </c>
      <c r="H24">
        <v>51</v>
      </c>
      <c r="I24">
        <v>0</v>
      </c>
      <c r="J24">
        <v>0</v>
      </c>
      <c r="K24">
        <v>0</v>
      </c>
      <c r="L24">
        <v>10</v>
      </c>
      <c r="M24">
        <v>1</v>
      </c>
      <c r="N24">
        <v>10</v>
      </c>
      <c r="O24">
        <v>0</v>
      </c>
      <c r="P24">
        <v>0</v>
      </c>
      <c r="Q24">
        <v>1</v>
      </c>
      <c r="R24">
        <v>0</v>
      </c>
      <c r="S24">
        <v>6</v>
      </c>
      <c r="T24">
        <v>0</v>
      </c>
      <c r="U24">
        <v>0</v>
      </c>
      <c r="V24">
        <v>0</v>
      </c>
      <c r="W24">
        <v>0</v>
      </c>
      <c r="X24">
        <v>22</v>
      </c>
      <c r="Y24">
        <v>0</v>
      </c>
      <c r="Z24">
        <v>1</v>
      </c>
      <c r="AA24">
        <v>0</v>
      </c>
      <c r="AB24">
        <v>0</v>
      </c>
      <c r="AC24">
        <v>13</v>
      </c>
      <c r="AD24">
        <v>0</v>
      </c>
      <c r="AE24">
        <v>0</v>
      </c>
    </row>
    <row r="25" spans="2:31">
      <c r="B25" t="s">
        <v>128</v>
      </c>
      <c r="C25">
        <v>8</v>
      </c>
      <c r="D25">
        <v>3</v>
      </c>
      <c r="E25">
        <v>0</v>
      </c>
      <c r="F25">
        <v>0</v>
      </c>
      <c r="G25">
        <v>2</v>
      </c>
      <c r="H25">
        <v>25</v>
      </c>
      <c r="I25">
        <v>0</v>
      </c>
      <c r="J25">
        <v>0</v>
      </c>
      <c r="K25">
        <v>0</v>
      </c>
      <c r="L25">
        <v>4</v>
      </c>
      <c r="M25">
        <v>2</v>
      </c>
      <c r="N25">
        <v>7</v>
      </c>
      <c r="O25">
        <v>0</v>
      </c>
      <c r="P25">
        <v>0</v>
      </c>
      <c r="Q25">
        <v>0</v>
      </c>
      <c r="R25">
        <v>0</v>
      </c>
      <c r="S25">
        <v>4</v>
      </c>
      <c r="T25">
        <v>0</v>
      </c>
      <c r="U25">
        <v>0</v>
      </c>
      <c r="V25">
        <v>0</v>
      </c>
      <c r="W25">
        <v>0</v>
      </c>
      <c r="X25">
        <v>3</v>
      </c>
      <c r="Y25">
        <v>2</v>
      </c>
      <c r="Z25">
        <v>1</v>
      </c>
      <c r="AA25">
        <v>2</v>
      </c>
      <c r="AB25">
        <v>0</v>
      </c>
      <c r="AC25">
        <v>7</v>
      </c>
      <c r="AD25">
        <v>1</v>
      </c>
      <c r="AE25">
        <v>0</v>
      </c>
    </row>
    <row r="26" spans="2:31">
      <c r="B26" t="s">
        <v>129</v>
      </c>
      <c r="C26">
        <v>1</v>
      </c>
      <c r="D26">
        <v>4</v>
      </c>
      <c r="E26">
        <v>1</v>
      </c>
      <c r="F26">
        <v>0</v>
      </c>
      <c r="G26">
        <v>2</v>
      </c>
      <c r="H26">
        <v>82</v>
      </c>
      <c r="I26">
        <v>1</v>
      </c>
      <c r="J26">
        <v>0</v>
      </c>
      <c r="K26">
        <v>0</v>
      </c>
      <c r="L26">
        <v>26</v>
      </c>
      <c r="M26">
        <v>0</v>
      </c>
      <c r="N26">
        <v>15</v>
      </c>
      <c r="O26">
        <v>5</v>
      </c>
      <c r="P26">
        <v>1</v>
      </c>
      <c r="Q26">
        <v>1</v>
      </c>
      <c r="R26">
        <v>0</v>
      </c>
      <c r="S26">
        <v>41</v>
      </c>
      <c r="T26">
        <v>1</v>
      </c>
      <c r="U26">
        <v>0</v>
      </c>
      <c r="V26">
        <v>0</v>
      </c>
      <c r="W26">
        <v>0</v>
      </c>
      <c r="X26">
        <v>3</v>
      </c>
      <c r="Y26">
        <v>0</v>
      </c>
      <c r="Z26">
        <v>12</v>
      </c>
      <c r="AA26">
        <v>7</v>
      </c>
      <c r="AB26">
        <v>9</v>
      </c>
      <c r="AC26">
        <v>7</v>
      </c>
      <c r="AD26">
        <v>3</v>
      </c>
      <c r="AE26">
        <v>0</v>
      </c>
    </row>
    <row r="27" spans="2:31">
      <c r="B27" t="s">
        <v>131</v>
      </c>
      <c r="C27">
        <v>41</v>
      </c>
      <c r="D27">
        <v>1</v>
      </c>
      <c r="E27">
        <v>0</v>
      </c>
      <c r="F27">
        <v>0</v>
      </c>
      <c r="G27">
        <v>5</v>
      </c>
      <c r="H27">
        <v>28</v>
      </c>
      <c r="I27">
        <v>1</v>
      </c>
      <c r="J27">
        <v>0</v>
      </c>
      <c r="K27">
        <v>0</v>
      </c>
      <c r="L27">
        <v>0</v>
      </c>
      <c r="M27">
        <v>0</v>
      </c>
      <c r="N27">
        <v>2</v>
      </c>
      <c r="O27">
        <v>0</v>
      </c>
      <c r="P27">
        <v>1</v>
      </c>
      <c r="Q27">
        <v>0</v>
      </c>
      <c r="R27">
        <v>0</v>
      </c>
      <c r="S27">
        <v>3</v>
      </c>
      <c r="T27">
        <v>1</v>
      </c>
      <c r="U27">
        <v>0</v>
      </c>
      <c r="V27">
        <v>0</v>
      </c>
      <c r="W27">
        <v>0</v>
      </c>
      <c r="X27">
        <v>0</v>
      </c>
      <c r="Y27">
        <v>0</v>
      </c>
      <c r="Z27">
        <v>6</v>
      </c>
      <c r="AA27">
        <v>1</v>
      </c>
      <c r="AB27">
        <v>1</v>
      </c>
      <c r="AC27">
        <v>1</v>
      </c>
      <c r="AD27">
        <v>0</v>
      </c>
      <c r="AE27">
        <v>1</v>
      </c>
    </row>
    <row r="28" spans="2:31">
      <c r="B28" t="s">
        <v>28</v>
      </c>
      <c r="C28">
        <v>182</v>
      </c>
      <c r="D28">
        <v>2</v>
      </c>
      <c r="E28">
        <v>0</v>
      </c>
      <c r="F28">
        <v>0</v>
      </c>
      <c r="G28">
        <v>3</v>
      </c>
      <c r="H28">
        <v>22</v>
      </c>
      <c r="I28">
        <v>2</v>
      </c>
      <c r="J28">
        <v>0</v>
      </c>
      <c r="K28">
        <v>0</v>
      </c>
      <c r="L28">
        <v>59</v>
      </c>
      <c r="M28">
        <v>1</v>
      </c>
      <c r="N28">
        <v>338</v>
      </c>
      <c r="O28">
        <v>10</v>
      </c>
      <c r="P28">
        <v>0</v>
      </c>
      <c r="Q28">
        <v>0</v>
      </c>
      <c r="R28">
        <v>0</v>
      </c>
      <c r="S28">
        <v>75</v>
      </c>
      <c r="T28">
        <v>0</v>
      </c>
      <c r="U28">
        <v>1</v>
      </c>
      <c r="V28">
        <v>0</v>
      </c>
      <c r="W28">
        <v>5</v>
      </c>
      <c r="X28">
        <v>3</v>
      </c>
      <c r="Y28">
        <v>0</v>
      </c>
      <c r="Z28">
        <v>0</v>
      </c>
      <c r="AA28">
        <v>6</v>
      </c>
      <c r="AB28">
        <v>2</v>
      </c>
      <c r="AC28">
        <v>0</v>
      </c>
      <c r="AD28">
        <v>67</v>
      </c>
      <c r="AE28">
        <v>0</v>
      </c>
    </row>
    <row r="33" spans="3:33">
      <c r="D33" t="s">
        <v>35</v>
      </c>
      <c r="E33" t="s">
        <v>36</v>
      </c>
      <c r="F33" t="s">
        <v>37</v>
      </c>
      <c r="G33" t="s">
        <v>39</v>
      </c>
      <c r="H33" t="s">
        <v>33</v>
      </c>
      <c r="I33" t="s">
        <v>44</v>
      </c>
      <c r="J33" t="s">
        <v>40</v>
      </c>
      <c r="K33" t="s">
        <v>41</v>
      </c>
      <c r="L33" t="s">
        <v>135</v>
      </c>
      <c r="M33" t="s">
        <v>59</v>
      </c>
      <c r="N33" t="s">
        <v>42</v>
      </c>
      <c r="O33" t="s">
        <v>43</v>
      </c>
      <c r="P33" t="s">
        <v>137</v>
      </c>
      <c r="Q33" t="s">
        <v>45</v>
      </c>
      <c r="R33" t="s">
        <v>47</v>
      </c>
      <c r="S33" t="s">
        <v>46</v>
      </c>
      <c r="T33" t="s">
        <v>48</v>
      </c>
      <c r="U33" t="s">
        <v>50</v>
      </c>
      <c r="V33" t="s">
        <v>51</v>
      </c>
      <c r="W33" t="s">
        <v>49</v>
      </c>
      <c r="X33" t="s">
        <v>52</v>
      </c>
      <c r="Y33" t="s">
        <v>53</v>
      </c>
      <c r="Z33" t="s">
        <v>54</v>
      </c>
      <c r="AA33" t="s">
        <v>121</v>
      </c>
      <c r="AB33" t="s">
        <v>55</v>
      </c>
      <c r="AC33" t="s">
        <v>56</v>
      </c>
      <c r="AD33" t="s">
        <v>60</v>
      </c>
      <c r="AE33" t="s">
        <v>58</v>
      </c>
      <c r="AF33" t="s">
        <v>57</v>
      </c>
    </row>
    <row r="34" spans="3:33">
      <c r="C34" t="s">
        <v>172</v>
      </c>
      <c r="D34">
        <v>40</v>
      </c>
      <c r="E34">
        <v>14</v>
      </c>
      <c r="F34">
        <v>1</v>
      </c>
      <c r="G34">
        <v>0</v>
      </c>
      <c r="H34">
        <v>0</v>
      </c>
      <c r="I34">
        <v>100</v>
      </c>
      <c r="J34">
        <v>41</v>
      </c>
      <c r="K34">
        <v>151</v>
      </c>
      <c r="L34">
        <v>0</v>
      </c>
      <c r="M34">
        <v>157</v>
      </c>
      <c r="N34">
        <v>0</v>
      </c>
      <c r="O34">
        <v>87</v>
      </c>
      <c r="P34">
        <v>2</v>
      </c>
      <c r="Q34">
        <v>0</v>
      </c>
      <c r="R34">
        <v>34</v>
      </c>
      <c r="S34">
        <v>0</v>
      </c>
      <c r="T34">
        <v>393</v>
      </c>
      <c r="U34">
        <v>0</v>
      </c>
      <c r="V34">
        <v>0</v>
      </c>
      <c r="W34">
        <v>0</v>
      </c>
      <c r="X34">
        <v>0</v>
      </c>
      <c r="Y34">
        <v>98</v>
      </c>
      <c r="Z34">
        <v>0</v>
      </c>
      <c r="AA34">
        <v>12</v>
      </c>
      <c r="AB34">
        <v>80</v>
      </c>
      <c r="AC34">
        <v>5</v>
      </c>
      <c r="AD34">
        <v>67</v>
      </c>
      <c r="AE34">
        <v>4</v>
      </c>
      <c r="AF34">
        <v>0</v>
      </c>
      <c r="AG34">
        <v>0</v>
      </c>
    </row>
    <row r="35" spans="3:33">
      <c r="C35" t="s">
        <v>228</v>
      </c>
      <c r="D35">
        <v>0</v>
      </c>
      <c r="E35">
        <v>0</v>
      </c>
      <c r="F35">
        <v>0</v>
      </c>
      <c r="G35">
        <v>0</v>
      </c>
      <c r="H35">
        <v>197</v>
      </c>
      <c r="I35">
        <v>16</v>
      </c>
      <c r="J35">
        <v>147</v>
      </c>
      <c r="K35">
        <v>0</v>
      </c>
      <c r="L35">
        <v>0</v>
      </c>
      <c r="M35">
        <v>34</v>
      </c>
      <c r="N35">
        <v>10</v>
      </c>
      <c r="O35">
        <v>0</v>
      </c>
      <c r="P35">
        <v>0</v>
      </c>
      <c r="Q35">
        <v>0</v>
      </c>
      <c r="R35">
        <v>0</v>
      </c>
      <c r="S35">
        <v>0</v>
      </c>
      <c r="T35">
        <v>43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193</v>
      </c>
      <c r="AE35">
        <v>0</v>
      </c>
      <c r="AF35">
        <v>0</v>
      </c>
      <c r="AG35">
        <v>0</v>
      </c>
    </row>
    <row r="36" spans="3:33">
      <c r="C36" t="s">
        <v>229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36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</row>
    <row r="37" spans="3:33">
      <c r="C37" t="s">
        <v>226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</row>
    <row r="38" spans="3:33">
      <c r="C38" t="s">
        <v>171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</row>
    <row r="39" spans="3:33">
      <c r="C39" t="s">
        <v>119</v>
      </c>
      <c r="D39">
        <v>184</v>
      </c>
      <c r="E39">
        <v>855</v>
      </c>
      <c r="F39">
        <v>9</v>
      </c>
      <c r="G39">
        <v>0</v>
      </c>
      <c r="H39">
        <v>21</v>
      </c>
      <c r="I39">
        <v>1030</v>
      </c>
      <c r="J39">
        <v>239</v>
      </c>
      <c r="K39">
        <v>171</v>
      </c>
      <c r="L39">
        <v>6</v>
      </c>
      <c r="M39">
        <v>1150</v>
      </c>
      <c r="N39">
        <v>123</v>
      </c>
      <c r="O39">
        <v>683</v>
      </c>
      <c r="P39">
        <v>15</v>
      </c>
      <c r="Q39">
        <v>44</v>
      </c>
      <c r="R39">
        <v>42</v>
      </c>
      <c r="S39">
        <v>0</v>
      </c>
      <c r="T39">
        <v>2298</v>
      </c>
      <c r="U39">
        <v>3</v>
      </c>
      <c r="V39">
        <v>6</v>
      </c>
      <c r="W39">
        <v>44</v>
      </c>
      <c r="X39">
        <v>13</v>
      </c>
      <c r="Y39">
        <v>458</v>
      </c>
      <c r="Z39">
        <v>0</v>
      </c>
      <c r="AA39">
        <v>220</v>
      </c>
      <c r="AB39">
        <v>72</v>
      </c>
      <c r="AC39">
        <v>18</v>
      </c>
      <c r="AD39">
        <v>138</v>
      </c>
      <c r="AE39">
        <v>42</v>
      </c>
      <c r="AF39">
        <v>8</v>
      </c>
      <c r="AG39">
        <v>0</v>
      </c>
    </row>
    <row r="40" spans="3:33">
      <c r="C40" t="s">
        <v>125</v>
      </c>
      <c r="D40">
        <v>23</v>
      </c>
      <c r="E40">
        <v>28</v>
      </c>
      <c r="F40">
        <v>0</v>
      </c>
      <c r="G40">
        <v>0</v>
      </c>
      <c r="H40">
        <v>2</v>
      </c>
      <c r="I40">
        <v>22</v>
      </c>
      <c r="J40">
        <v>158</v>
      </c>
      <c r="K40">
        <v>28</v>
      </c>
      <c r="L40">
        <v>0</v>
      </c>
      <c r="M40">
        <v>53</v>
      </c>
      <c r="N40">
        <v>0</v>
      </c>
      <c r="O40">
        <v>55</v>
      </c>
      <c r="P40">
        <v>0</v>
      </c>
      <c r="Q40">
        <v>0</v>
      </c>
      <c r="R40">
        <v>0</v>
      </c>
      <c r="S40">
        <v>0</v>
      </c>
      <c r="T40">
        <v>69</v>
      </c>
      <c r="U40">
        <v>2</v>
      </c>
      <c r="V40">
        <v>0</v>
      </c>
      <c r="W40">
        <v>0</v>
      </c>
      <c r="X40">
        <v>0</v>
      </c>
      <c r="Y40">
        <v>128</v>
      </c>
      <c r="Z40">
        <v>0</v>
      </c>
      <c r="AA40">
        <v>19</v>
      </c>
      <c r="AB40">
        <v>0</v>
      </c>
      <c r="AC40">
        <v>0</v>
      </c>
      <c r="AD40">
        <v>3</v>
      </c>
      <c r="AE40">
        <v>1</v>
      </c>
      <c r="AF40">
        <v>0</v>
      </c>
      <c r="AG40">
        <v>0</v>
      </c>
    </row>
    <row r="41" spans="3:33">
      <c r="C41" t="s">
        <v>126</v>
      </c>
      <c r="D41">
        <v>37</v>
      </c>
      <c r="E41">
        <v>240</v>
      </c>
      <c r="F41">
        <v>0</v>
      </c>
      <c r="G41">
        <v>0</v>
      </c>
      <c r="H41">
        <v>0</v>
      </c>
      <c r="I41">
        <v>322</v>
      </c>
      <c r="J41">
        <v>0</v>
      </c>
      <c r="K41">
        <v>22</v>
      </c>
      <c r="L41">
        <v>0</v>
      </c>
      <c r="M41">
        <v>322</v>
      </c>
      <c r="N41">
        <v>0</v>
      </c>
      <c r="O41">
        <v>248</v>
      </c>
      <c r="P41">
        <v>2</v>
      </c>
      <c r="Q41">
        <v>0</v>
      </c>
      <c r="R41">
        <v>0</v>
      </c>
      <c r="S41">
        <v>0</v>
      </c>
      <c r="T41">
        <v>451</v>
      </c>
      <c r="U41">
        <v>0</v>
      </c>
      <c r="V41">
        <v>0</v>
      </c>
      <c r="W41">
        <v>0</v>
      </c>
      <c r="X41">
        <v>0</v>
      </c>
      <c r="Y41">
        <v>23</v>
      </c>
      <c r="Z41">
        <v>0</v>
      </c>
      <c r="AA41">
        <v>14</v>
      </c>
      <c r="AB41">
        <v>0</v>
      </c>
      <c r="AC41">
        <v>0</v>
      </c>
      <c r="AD41">
        <v>59</v>
      </c>
      <c r="AE41">
        <v>29</v>
      </c>
      <c r="AF41">
        <v>0</v>
      </c>
      <c r="AG41">
        <v>0</v>
      </c>
    </row>
    <row r="42" spans="3:33">
      <c r="C42" t="s">
        <v>6</v>
      </c>
      <c r="D42">
        <v>31</v>
      </c>
      <c r="E42">
        <v>173</v>
      </c>
      <c r="F42">
        <v>3</v>
      </c>
      <c r="G42">
        <v>0</v>
      </c>
      <c r="H42">
        <v>10</v>
      </c>
      <c r="I42">
        <v>207</v>
      </c>
      <c r="J42">
        <v>42</v>
      </c>
      <c r="K42">
        <v>65</v>
      </c>
      <c r="L42">
        <v>2</v>
      </c>
      <c r="M42">
        <v>241</v>
      </c>
      <c r="N42">
        <v>0</v>
      </c>
      <c r="O42">
        <v>137</v>
      </c>
      <c r="P42">
        <v>3</v>
      </c>
      <c r="Q42">
        <v>4</v>
      </c>
      <c r="R42">
        <v>17</v>
      </c>
      <c r="S42">
        <v>0</v>
      </c>
      <c r="T42">
        <v>323</v>
      </c>
      <c r="U42">
        <v>10</v>
      </c>
      <c r="V42">
        <v>0</v>
      </c>
      <c r="W42">
        <v>28</v>
      </c>
      <c r="X42">
        <v>0</v>
      </c>
      <c r="Y42">
        <v>46</v>
      </c>
      <c r="Z42">
        <v>0</v>
      </c>
      <c r="AA42">
        <v>78</v>
      </c>
      <c r="AB42">
        <v>6</v>
      </c>
      <c r="AC42">
        <v>3</v>
      </c>
      <c r="AD42">
        <v>0</v>
      </c>
      <c r="AE42">
        <v>9</v>
      </c>
      <c r="AF42">
        <v>2</v>
      </c>
      <c r="AG42">
        <v>0</v>
      </c>
    </row>
    <row r="43" spans="3:33">
      <c r="C43" t="s">
        <v>7</v>
      </c>
      <c r="D43">
        <v>13</v>
      </c>
      <c r="E43">
        <v>184</v>
      </c>
      <c r="F43">
        <v>7</v>
      </c>
      <c r="G43">
        <v>0</v>
      </c>
      <c r="H43">
        <v>6</v>
      </c>
      <c r="I43">
        <v>115</v>
      </c>
      <c r="J43">
        <v>110</v>
      </c>
      <c r="K43">
        <v>347</v>
      </c>
      <c r="L43">
        <v>0</v>
      </c>
      <c r="M43">
        <v>217</v>
      </c>
      <c r="N43">
        <v>0</v>
      </c>
      <c r="O43">
        <v>76</v>
      </c>
      <c r="P43">
        <v>1</v>
      </c>
      <c r="Q43">
        <v>8</v>
      </c>
      <c r="R43">
        <v>11</v>
      </c>
      <c r="S43">
        <v>0</v>
      </c>
      <c r="T43">
        <v>111</v>
      </c>
      <c r="U43">
        <v>7</v>
      </c>
      <c r="V43">
        <v>0</v>
      </c>
      <c r="W43">
        <v>20</v>
      </c>
      <c r="X43">
        <v>0</v>
      </c>
      <c r="Y43">
        <v>54</v>
      </c>
      <c r="Z43">
        <v>0</v>
      </c>
      <c r="AA43">
        <v>77</v>
      </c>
      <c r="AB43">
        <v>4</v>
      </c>
      <c r="AC43">
        <v>1</v>
      </c>
      <c r="AD43">
        <v>0</v>
      </c>
      <c r="AE43">
        <v>8</v>
      </c>
      <c r="AF43">
        <v>0</v>
      </c>
      <c r="AG43">
        <v>0</v>
      </c>
    </row>
    <row r="44" spans="3:33">
      <c r="C44" t="s">
        <v>8</v>
      </c>
      <c r="D44">
        <v>11</v>
      </c>
      <c r="E44">
        <v>196</v>
      </c>
      <c r="F44">
        <v>0</v>
      </c>
      <c r="G44">
        <v>0</v>
      </c>
      <c r="H44">
        <v>0</v>
      </c>
      <c r="I44">
        <v>225</v>
      </c>
      <c r="J44">
        <v>0</v>
      </c>
      <c r="K44">
        <v>0</v>
      </c>
      <c r="L44">
        <v>0</v>
      </c>
      <c r="M44">
        <v>168</v>
      </c>
      <c r="N44">
        <v>0</v>
      </c>
      <c r="O44">
        <v>72</v>
      </c>
      <c r="P44">
        <v>0</v>
      </c>
      <c r="Q44">
        <v>0</v>
      </c>
      <c r="R44">
        <v>0</v>
      </c>
      <c r="S44">
        <v>0</v>
      </c>
      <c r="T44">
        <v>174</v>
      </c>
      <c r="U44">
        <v>0</v>
      </c>
      <c r="V44">
        <v>0</v>
      </c>
      <c r="W44">
        <v>0</v>
      </c>
      <c r="X44">
        <v>0</v>
      </c>
      <c r="Y44">
        <v>58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6</v>
      </c>
      <c r="AF44">
        <v>0</v>
      </c>
      <c r="AG44">
        <v>0</v>
      </c>
    </row>
    <row r="45" spans="3:33">
      <c r="C45" t="s">
        <v>123</v>
      </c>
      <c r="D45">
        <v>2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19</v>
      </c>
      <c r="N45">
        <v>0</v>
      </c>
      <c r="O45">
        <v>9</v>
      </c>
      <c r="P45">
        <v>1</v>
      </c>
      <c r="Q45">
        <v>0</v>
      </c>
      <c r="R45">
        <v>1</v>
      </c>
      <c r="S45">
        <v>0</v>
      </c>
      <c r="T45">
        <v>191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4</v>
      </c>
      <c r="AB45">
        <v>0</v>
      </c>
      <c r="AC45">
        <v>3</v>
      </c>
      <c r="AD45">
        <v>0</v>
      </c>
      <c r="AE45">
        <v>0</v>
      </c>
      <c r="AF45">
        <v>0</v>
      </c>
      <c r="AG45">
        <v>0</v>
      </c>
    </row>
    <row r="46" spans="3:33">
      <c r="C46" t="s">
        <v>10</v>
      </c>
      <c r="D46">
        <v>52</v>
      </c>
      <c r="E46">
        <v>1</v>
      </c>
      <c r="F46">
        <v>7</v>
      </c>
      <c r="G46">
        <v>0</v>
      </c>
      <c r="H46">
        <v>31</v>
      </c>
      <c r="I46">
        <v>21</v>
      </c>
      <c r="J46">
        <v>2190</v>
      </c>
      <c r="K46">
        <v>0</v>
      </c>
      <c r="L46">
        <v>0</v>
      </c>
      <c r="M46">
        <v>10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3434</v>
      </c>
      <c r="U46">
        <v>0</v>
      </c>
      <c r="V46">
        <v>0</v>
      </c>
      <c r="W46">
        <v>0</v>
      </c>
      <c r="X46">
        <v>0</v>
      </c>
      <c r="Y46">
        <v>164</v>
      </c>
      <c r="Z46">
        <v>160</v>
      </c>
      <c r="AA46">
        <v>89</v>
      </c>
      <c r="AB46">
        <v>3854</v>
      </c>
      <c r="AC46">
        <v>1</v>
      </c>
      <c r="AD46">
        <v>190</v>
      </c>
      <c r="AE46">
        <v>0</v>
      </c>
      <c r="AF46">
        <v>0</v>
      </c>
      <c r="AG46">
        <v>0</v>
      </c>
    </row>
    <row r="47" spans="3:33">
      <c r="C47" t="s">
        <v>11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48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49</v>
      </c>
      <c r="AE47">
        <v>0</v>
      </c>
      <c r="AF47">
        <v>0</v>
      </c>
      <c r="AG47">
        <v>0</v>
      </c>
    </row>
    <row r="48" spans="3:33">
      <c r="C48" t="s">
        <v>13</v>
      </c>
      <c r="D48">
        <v>0</v>
      </c>
      <c r="E48">
        <v>1305</v>
      </c>
      <c r="F48">
        <v>0</v>
      </c>
      <c r="G48">
        <v>84</v>
      </c>
      <c r="H48">
        <v>0</v>
      </c>
      <c r="I48">
        <v>6075</v>
      </c>
      <c r="J48">
        <v>666</v>
      </c>
      <c r="K48">
        <v>1005</v>
      </c>
      <c r="L48">
        <v>4606</v>
      </c>
      <c r="M48">
        <v>7430</v>
      </c>
      <c r="N48">
        <v>1913</v>
      </c>
      <c r="O48">
        <v>9444</v>
      </c>
      <c r="P48">
        <v>0</v>
      </c>
      <c r="Q48">
        <v>0</v>
      </c>
      <c r="R48">
        <v>0</v>
      </c>
      <c r="S48">
        <v>0</v>
      </c>
      <c r="T48">
        <v>1291</v>
      </c>
      <c r="U48">
        <v>279</v>
      </c>
      <c r="V48">
        <v>2</v>
      </c>
      <c r="W48">
        <v>0</v>
      </c>
      <c r="X48">
        <v>0</v>
      </c>
      <c r="Y48">
        <v>160</v>
      </c>
      <c r="Z48">
        <v>0</v>
      </c>
      <c r="AA48">
        <v>1095</v>
      </c>
      <c r="AB48">
        <v>62</v>
      </c>
      <c r="AC48">
        <v>19</v>
      </c>
      <c r="AD48">
        <v>1199</v>
      </c>
      <c r="AE48">
        <v>32</v>
      </c>
      <c r="AF48">
        <v>0</v>
      </c>
      <c r="AG48">
        <v>0</v>
      </c>
    </row>
    <row r="49" spans="3:33">
      <c r="C49" t="s">
        <v>130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3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</row>
    <row r="50" spans="3:33">
      <c r="C50" t="s">
        <v>24</v>
      </c>
      <c r="D50">
        <v>3</v>
      </c>
      <c r="E50">
        <v>0</v>
      </c>
      <c r="F50">
        <v>0</v>
      </c>
      <c r="G50">
        <v>0</v>
      </c>
      <c r="H50">
        <v>0</v>
      </c>
      <c r="I50">
        <v>465</v>
      </c>
      <c r="J50">
        <v>0</v>
      </c>
      <c r="K50">
        <v>0</v>
      </c>
      <c r="L50">
        <v>0</v>
      </c>
      <c r="M50">
        <v>4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1784</v>
      </c>
      <c r="AE50">
        <v>0</v>
      </c>
      <c r="AF50">
        <v>0</v>
      </c>
      <c r="AG50">
        <v>0</v>
      </c>
    </row>
    <row r="51" spans="3:33">
      <c r="C51" t="s">
        <v>173</v>
      </c>
      <c r="D51">
        <v>0</v>
      </c>
      <c r="E51">
        <v>0</v>
      </c>
      <c r="F51">
        <v>0</v>
      </c>
      <c r="G51">
        <v>0</v>
      </c>
      <c r="H51">
        <v>4981</v>
      </c>
      <c r="I51">
        <v>0</v>
      </c>
      <c r="J51">
        <v>0</v>
      </c>
      <c r="K51">
        <v>0</v>
      </c>
      <c r="L51">
        <v>0</v>
      </c>
      <c r="M51">
        <v>16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</row>
    <row r="52" spans="3:33">
      <c r="C52" t="s">
        <v>26</v>
      </c>
      <c r="D52">
        <v>48</v>
      </c>
      <c r="E52">
        <v>0</v>
      </c>
      <c r="F52">
        <v>0</v>
      </c>
      <c r="G52">
        <v>0</v>
      </c>
      <c r="H52">
        <v>8</v>
      </c>
      <c r="I52">
        <v>2</v>
      </c>
      <c r="J52">
        <v>2420</v>
      </c>
      <c r="K52">
        <v>0</v>
      </c>
      <c r="L52">
        <v>0</v>
      </c>
      <c r="M52">
        <v>104</v>
      </c>
      <c r="N52">
        <v>1</v>
      </c>
      <c r="O52">
        <v>0</v>
      </c>
      <c r="P52">
        <v>0</v>
      </c>
      <c r="Q52">
        <v>0</v>
      </c>
      <c r="R52">
        <v>0</v>
      </c>
      <c r="S52">
        <v>0</v>
      </c>
      <c r="T52">
        <v>297</v>
      </c>
      <c r="U52">
        <v>0</v>
      </c>
      <c r="V52">
        <v>0</v>
      </c>
      <c r="W52">
        <v>0</v>
      </c>
      <c r="X52">
        <v>0</v>
      </c>
      <c r="Y52">
        <v>39</v>
      </c>
      <c r="Z52">
        <v>23</v>
      </c>
      <c r="AA52">
        <v>992</v>
      </c>
      <c r="AB52">
        <v>0</v>
      </c>
      <c r="AC52">
        <v>9</v>
      </c>
      <c r="AD52">
        <v>1</v>
      </c>
      <c r="AE52">
        <v>0</v>
      </c>
      <c r="AF52">
        <v>0</v>
      </c>
      <c r="AG52">
        <v>0</v>
      </c>
    </row>
    <row r="53" spans="3:33">
      <c r="C53" t="s">
        <v>143</v>
      </c>
      <c r="D53">
        <v>23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</row>
    <row r="54" spans="3:33">
      <c r="C54" t="s">
        <v>181</v>
      </c>
      <c r="D54">
        <v>0</v>
      </c>
      <c r="E54">
        <v>3</v>
      </c>
      <c r="F54">
        <v>0</v>
      </c>
      <c r="G54">
        <v>0</v>
      </c>
      <c r="H54">
        <v>0</v>
      </c>
      <c r="I54">
        <v>0</v>
      </c>
      <c r="J54">
        <v>3</v>
      </c>
      <c r="K54">
        <v>0</v>
      </c>
      <c r="L54">
        <v>0</v>
      </c>
      <c r="M54">
        <v>3</v>
      </c>
      <c r="N54">
        <v>0</v>
      </c>
      <c r="O54">
        <v>71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</row>
    <row r="55" spans="3:33">
      <c r="C55" t="s">
        <v>20</v>
      </c>
      <c r="D55">
        <v>4</v>
      </c>
      <c r="E55">
        <v>36</v>
      </c>
      <c r="F55">
        <v>0</v>
      </c>
      <c r="G55">
        <v>0</v>
      </c>
      <c r="H55">
        <v>13</v>
      </c>
      <c r="I55">
        <v>152</v>
      </c>
      <c r="J55">
        <v>0</v>
      </c>
      <c r="K55">
        <v>0</v>
      </c>
      <c r="L55">
        <v>0</v>
      </c>
      <c r="M55">
        <v>46</v>
      </c>
      <c r="N55">
        <v>4</v>
      </c>
      <c r="O55">
        <v>82</v>
      </c>
      <c r="P55">
        <v>0</v>
      </c>
      <c r="Q55">
        <v>0</v>
      </c>
      <c r="R55">
        <v>6</v>
      </c>
      <c r="S55">
        <v>0</v>
      </c>
      <c r="T55">
        <v>33</v>
      </c>
      <c r="U55">
        <v>0</v>
      </c>
      <c r="V55">
        <v>0</v>
      </c>
      <c r="W55">
        <v>0</v>
      </c>
      <c r="X55">
        <v>0</v>
      </c>
      <c r="Y55">
        <v>250</v>
      </c>
      <c r="Z55">
        <v>0</v>
      </c>
      <c r="AA55">
        <v>1</v>
      </c>
      <c r="AB55">
        <v>0</v>
      </c>
      <c r="AC55">
        <v>0</v>
      </c>
      <c r="AD55">
        <v>61</v>
      </c>
      <c r="AE55">
        <v>0</v>
      </c>
      <c r="AF55">
        <v>0</v>
      </c>
      <c r="AG55">
        <v>0</v>
      </c>
    </row>
    <row r="56" spans="3:33">
      <c r="C56" t="s">
        <v>128</v>
      </c>
      <c r="D56">
        <v>127</v>
      </c>
      <c r="E56">
        <v>608</v>
      </c>
      <c r="F56">
        <v>0</v>
      </c>
      <c r="G56">
        <v>0</v>
      </c>
      <c r="H56">
        <v>79</v>
      </c>
      <c r="I56">
        <v>130</v>
      </c>
      <c r="J56">
        <v>0</v>
      </c>
      <c r="K56">
        <v>0</v>
      </c>
      <c r="L56">
        <v>0</v>
      </c>
      <c r="M56">
        <v>38</v>
      </c>
      <c r="N56">
        <v>302</v>
      </c>
      <c r="O56">
        <v>228</v>
      </c>
      <c r="P56">
        <v>0</v>
      </c>
      <c r="Q56">
        <v>0</v>
      </c>
      <c r="R56">
        <v>0</v>
      </c>
      <c r="S56">
        <v>0</v>
      </c>
      <c r="T56">
        <v>987</v>
      </c>
      <c r="U56">
        <v>0</v>
      </c>
      <c r="V56">
        <v>0</v>
      </c>
      <c r="W56">
        <v>0</v>
      </c>
      <c r="X56">
        <v>0</v>
      </c>
      <c r="Y56">
        <v>213</v>
      </c>
      <c r="Z56">
        <v>9</v>
      </c>
      <c r="AA56">
        <v>172</v>
      </c>
      <c r="AB56">
        <v>1127</v>
      </c>
      <c r="AC56">
        <v>0</v>
      </c>
      <c r="AD56">
        <v>165</v>
      </c>
      <c r="AE56">
        <v>2</v>
      </c>
      <c r="AF56">
        <v>0</v>
      </c>
      <c r="AG56">
        <v>0</v>
      </c>
    </row>
    <row r="57" spans="3:33">
      <c r="C57" t="s">
        <v>129</v>
      </c>
      <c r="D57">
        <v>10</v>
      </c>
      <c r="E57">
        <v>253</v>
      </c>
      <c r="F57">
        <v>79</v>
      </c>
      <c r="G57">
        <v>0</v>
      </c>
      <c r="H57">
        <v>28</v>
      </c>
      <c r="I57">
        <v>855</v>
      </c>
      <c r="J57">
        <v>2</v>
      </c>
      <c r="K57">
        <v>0</v>
      </c>
      <c r="L57">
        <v>0</v>
      </c>
      <c r="M57">
        <v>4496</v>
      </c>
      <c r="N57">
        <v>0</v>
      </c>
      <c r="O57">
        <v>856</v>
      </c>
      <c r="P57">
        <v>23</v>
      </c>
      <c r="Q57">
        <v>25</v>
      </c>
      <c r="R57">
        <v>37</v>
      </c>
      <c r="S57">
        <v>0</v>
      </c>
      <c r="T57">
        <v>5222</v>
      </c>
      <c r="U57">
        <v>437</v>
      </c>
      <c r="V57">
        <v>0</v>
      </c>
      <c r="W57">
        <v>0</v>
      </c>
      <c r="X57">
        <v>0</v>
      </c>
      <c r="Y57">
        <v>306</v>
      </c>
      <c r="Z57">
        <v>0</v>
      </c>
      <c r="AA57">
        <v>481</v>
      </c>
      <c r="AB57">
        <v>1733</v>
      </c>
      <c r="AC57">
        <v>61</v>
      </c>
      <c r="AD57">
        <v>2585</v>
      </c>
      <c r="AE57">
        <v>13</v>
      </c>
      <c r="AF57">
        <v>0</v>
      </c>
      <c r="AG57">
        <v>0</v>
      </c>
    </row>
    <row r="58" spans="3:33">
      <c r="C58" t="s">
        <v>131</v>
      </c>
      <c r="D58">
        <v>310</v>
      </c>
      <c r="E58">
        <v>49</v>
      </c>
      <c r="F58">
        <v>0</v>
      </c>
      <c r="G58">
        <v>0</v>
      </c>
      <c r="H58">
        <v>16</v>
      </c>
      <c r="I58">
        <v>39</v>
      </c>
      <c r="J58">
        <v>1</v>
      </c>
      <c r="K58">
        <v>0</v>
      </c>
      <c r="L58">
        <v>0</v>
      </c>
      <c r="M58">
        <v>0</v>
      </c>
      <c r="N58">
        <v>0</v>
      </c>
      <c r="O58">
        <v>117</v>
      </c>
      <c r="P58">
        <v>0</v>
      </c>
      <c r="Q58">
        <v>1</v>
      </c>
      <c r="R58">
        <v>0</v>
      </c>
      <c r="S58">
        <v>0</v>
      </c>
      <c r="T58">
        <v>6</v>
      </c>
      <c r="U58">
        <v>3</v>
      </c>
      <c r="V58">
        <v>0</v>
      </c>
      <c r="W58">
        <v>0</v>
      </c>
      <c r="X58">
        <v>0</v>
      </c>
      <c r="Y58">
        <v>0</v>
      </c>
      <c r="Z58">
        <v>0</v>
      </c>
      <c r="AA58">
        <v>799</v>
      </c>
      <c r="AB58">
        <v>6</v>
      </c>
      <c r="AC58">
        <v>1</v>
      </c>
      <c r="AD58">
        <v>6</v>
      </c>
      <c r="AE58">
        <v>0</v>
      </c>
      <c r="AF58">
        <v>5</v>
      </c>
      <c r="AG58">
        <v>0</v>
      </c>
    </row>
    <row r="59" spans="3:33">
      <c r="C59" t="s">
        <v>28</v>
      </c>
      <c r="D59">
        <v>182</v>
      </c>
      <c r="E59">
        <v>2</v>
      </c>
      <c r="F59">
        <v>0</v>
      </c>
      <c r="G59">
        <v>0</v>
      </c>
      <c r="H59">
        <v>4</v>
      </c>
      <c r="I59">
        <v>22</v>
      </c>
      <c r="J59">
        <v>2</v>
      </c>
      <c r="K59">
        <v>0</v>
      </c>
      <c r="L59">
        <v>0</v>
      </c>
      <c r="M59">
        <v>59</v>
      </c>
      <c r="N59">
        <v>1</v>
      </c>
      <c r="O59">
        <v>338</v>
      </c>
      <c r="P59">
        <v>10</v>
      </c>
      <c r="Q59">
        <v>0</v>
      </c>
      <c r="R59">
        <v>0</v>
      </c>
      <c r="S59">
        <v>0</v>
      </c>
      <c r="T59">
        <v>76</v>
      </c>
      <c r="U59">
        <v>0</v>
      </c>
      <c r="V59">
        <v>1</v>
      </c>
      <c r="W59">
        <v>0</v>
      </c>
      <c r="X59">
        <v>5</v>
      </c>
      <c r="Y59">
        <v>22</v>
      </c>
      <c r="Z59">
        <v>0</v>
      </c>
      <c r="AA59">
        <v>0</v>
      </c>
      <c r="AB59">
        <v>6</v>
      </c>
      <c r="AC59">
        <v>2</v>
      </c>
      <c r="AD59">
        <v>0</v>
      </c>
      <c r="AE59">
        <v>67</v>
      </c>
      <c r="AF59">
        <v>0</v>
      </c>
      <c r="AG59">
        <v>0</v>
      </c>
    </row>
    <row r="71" spans="3:32">
      <c r="C71" t="s">
        <v>35</v>
      </c>
      <c r="D71" t="s">
        <v>36</v>
      </c>
      <c r="E71" t="s">
        <v>37</v>
      </c>
      <c r="F71" t="s">
        <v>39</v>
      </c>
      <c r="G71" t="s">
        <v>33</v>
      </c>
      <c r="H71" t="s">
        <v>44</v>
      </c>
      <c r="I71" t="s">
        <v>40</v>
      </c>
      <c r="J71" t="s">
        <v>41</v>
      </c>
      <c r="K71" t="s">
        <v>135</v>
      </c>
      <c r="L71" t="s">
        <v>59</v>
      </c>
      <c r="M71" t="s">
        <v>42</v>
      </c>
      <c r="N71" t="s">
        <v>43</v>
      </c>
      <c r="O71" t="s">
        <v>38</v>
      </c>
      <c r="P71" t="s">
        <v>45</v>
      </c>
      <c r="Q71" t="s">
        <v>47</v>
      </c>
      <c r="R71" t="s">
        <v>46</v>
      </c>
      <c r="S71" t="s">
        <v>48</v>
      </c>
      <c r="T71" t="s">
        <v>50</v>
      </c>
      <c r="U71" t="s">
        <v>51</v>
      </c>
      <c r="V71" t="s">
        <v>49</v>
      </c>
      <c r="W71" t="s">
        <v>52</v>
      </c>
      <c r="X71" t="s">
        <v>53</v>
      </c>
      <c r="Y71" t="s">
        <v>54</v>
      </c>
      <c r="Z71" t="s">
        <v>121</v>
      </c>
      <c r="AA71" t="s">
        <v>55</v>
      </c>
      <c r="AB71" t="s">
        <v>56</v>
      </c>
      <c r="AC71" t="s">
        <v>60</v>
      </c>
      <c r="AD71" t="s">
        <v>58</v>
      </c>
      <c r="AE71" t="s">
        <v>57</v>
      </c>
    </row>
    <row r="72" spans="3:32">
      <c r="C72">
        <v>19</v>
      </c>
      <c r="D72">
        <v>2</v>
      </c>
      <c r="E72">
        <v>0</v>
      </c>
      <c r="F72">
        <v>0</v>
      </c>
      <c r="G72">
        <v>5</v>
      </c>
      <c r="H72">
        <v>35</v>
      </c>
      <c r="I72">
        <v>14</v>
      </c>
      <c r="J72">
        <v>0</v>
      </c>
      <c r="K72">
        <v>0</v>
      </c>
      <c r="L72">
        <v>10</v>
      </c>
      <c r="M72">
        <v>-1</v>
      </c>
      <c r="N72">
        <v>46</v>
      </c>
      <c r="O72">
        <v>4</v>
      </c>
      <c r="P72">
        <v>3</v>
      </c>
      <c r="Q72">
        <v>0</v>
      </c>
      <c r="R72">
        <v>0</v>
      </c>
      <c r="S72">
        <v>51</v>
      </c>
      <c r="T72">
        <v>0</v>
      </c>
      <c r="U72">
        <v>1</v>
      </c>
      <c r="V72">
        <v>0</v>
      </c>
      <c r="W72">
        <v>1</v>
      </c>
      <c r="X72">
        <v>8</v>
      </c>
      <c r="Y72">
        <v>0</v>
      </c>
      <c r="Z72">
        <v>4</v>
      </c>
      <c r="AA72">
        <v>-1</v>
      </c>
      <c r="AB72">
        <v>13</v>
      </c>
      <c r="AC72">
        <v>0</v>
      </c>
      <c r="AD72">
        <v>26</v>
      </c>
      <c r="AE72">
        <v>0</v>
      </c>
      <c r="AF72">
        <v>0</v>
      </c>
    </row>
  </sheetData>
  <pageMargins left="0.7" right="0.7" top="0.78740157499999996" bottom="0.78740157499999996" header="0.3" footer="0.3"/>
  <pageSetup paperSize="9" scale="63" orientation="portrait" r:id="rId1"/>
  <colBreaks count="1" manualBreakCount="1">
    <brk id="21" max="97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1157-7717-4B4B-A032-EB7ED6587DA5}">
  <dimension ref="B1:BT64"/>
  <sheetViews>
    <sheetView view="pageBreakPreview" topLeftCell="A16" zoomScale="70" zoomScaleNormal="87" zoomScaleSheetLayoutView="70" workbookViewId="0">
      <selection activeCell="AG4" sqref="AG4"/>
    </sheetView>
  </sheetViews>
  <sheetFormatPr baseColWidth="10" defaultColWidth="8.7109375" defaultRowHeight="15"/>
  <cols>
    <col min="2" max="2" width="17.42578125" customWidth="1"/>
    <col min="3" max="3" width="42.42578125" customWidth="1"/>
    <col min="4" max="4" width="11.42578125" customWidth="1"/>
    <col min="6" max="6" width="8.7109375" customWidth="1"/>
    <col min="36" max="36" width="13.28515625" customWidth="1"/>
    <col min="37" max="37" width="7.42578125" customWidth="1"/>
    <col min="38" max="38" width="56.28515625" hidden="1" customWidth="1"/>
    <col min="39" max="40" width="0.28515625" hidden="1" customWidth="1"/>
    <col min="41" max="41" width="8.7109375" hidden="1" customWidth="1"/>
    <col min="42" max="42" width="0.28515625" hidden="1" customWidth="1"/>
    <col min="43" max="44" width="8.7109375" hidden="1" customWidth="1"/>
    <col min="45" max="45" width="0.28515625" hidden="1" customWidth="1"/>
    <col min="46" max="47" width="8.7109375" hidden="1" customWidth="1"/>
    <col min="48" max="48" width="0.28515625" hidden="1" customWidth="1"/>
    <col min="49" max="51" width="8.7109375" hidden="1" customWidth="1"/>
    <col min="52" max="52" width="0.28515625" hidden="1" customWidth="1"/>
    <col min="53" max="53" width="8.7109375" hidden="1" customWidth="1"/>
    <col min="54" max="54" width="0.28515625" hidden="1" customWidth="1"/>
    <col min="55" max="56" width="8.7109375" hidden="1" customWidth="1"/>
    <col min="57" max="57" width="0.28515625" hidden="1" customWidth="1"/>
    <col min="58" max="59" width="8.7109375" hidden="1" customWidth="1"/>
    <col min="60" max="60" width="0.28515625" hidden="1" customWidth="1"/>
    <col min="61" max="61" width="8.7109375" hidden="1" customWidth="1"/>
    <col min="62" max="62" width="0.28515625" hidden="1" customWidth="1"/>
    <col min="63" max="63" width="8.7109375" hidden="1" customWidth="1"/>
    <col min="64" max="64" width="0.28515625" hidden="1" customWidth="1"/>
    <col min="65" max="66" width="8.7109375" hidden="1" customWidth="1"/>
    <col min="67" max="67" width="0.28515625" hidden="1" customWidth="1"/>
    <col min="68" max="70" width="8.7109375" hidden="1" customWidth="1"/>
  </cols>
  <sheetData>
    <row r="1" spans="2:70" s="18" customFormat="1" ht="15.75" thickBot="1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>
        <v>33</v>
      </c>
    </row>
    <row r="2" spans="2:70" ht="16.5" thickTop="1" thickBot="1">
      <c r="B2" s="5" t="s">
        <v>34</v>
      </c>
      <c r="C2" s="6"/>
      <c r="D2" s="6"/>
      <c r="E2" s="7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9"/>
    </row>
    <row r="3" spans="2:70" ht="16.5" thickTop="1" thickBot="1">
      <c r="B3" s="3" t="s">
        <v>91</v>
      </c>
      <c r="C3" s="3" t="s">
        <v>0</v>
      </c>
      <c r="D3" s="3" t="s">
        <v>114</v>
      </c>
      <c r="E3" s="20" t="s">
        <v>35</v>
      </c>
      <c r="F3" s="20" t="s">
        <v>36</v>
      </c>
      <c r="G3" s="20" t="s">
        <v>37</v>
      </c>
      <c r="H3" s="20" t="s">
        <v>39</v>
      </c>
      <c r="I3" s="20" t="s">
        <v>33</v>
      </c>
      <c r="J3" s="20" t="s">
        <v>44</v>
      </c>
      <c r="K3" s="20" t="s">
        <v>40</v>
      </c>
      <c r="L3" s="20" t="s">
        <v>41</v>
      </c>
      <c r="M3" s="20" t="s">
        <v>135</v>
      </c>
      <c r="N3" s="20" t="s">
        <v>59</v>
      </c>
      <c r="O3" s="20" t="s">
        <v>42</v>
      </c>
      <c r="P3" s="20" t="s">
        <v>43</v>
      </c>
      <c r="Q3" s="20" t="s">
        <v>137</v>
      </c>
      <c r="R3" s="20" t="s">
        <v>45</v>
      </c>
      <c r="S3" s="20" t="s">
        <v>47</v>
      </c>
      <c r="T3" s="20" t="s">
        <v>46</v>
      </c>
      <c r="U3" s="20" t="s">
        <v>48</v>
      </c>
      <c r="V3" s="20" t="s">
        <v>50</v>
      </c>
      <c r="W3" s="20" t="s">
        <v>51</v>
      </c>
      <c r="X3" s="20" t="s">
        <v>49</v>
      </c>
      <c r="Y3" s="20" t="s">
        <v>52</v>
      </c>
      <c r="Z3" s="20" t="s">
        <v>53</v>
      </c>
      <c r="AA3" s="20" t="s">
        <v>54</v>
      </c>
      <c r="AB3" s="20" t="s">
        <v>121</v>
      </c>
      <c r="AC3" s="20" t="s">
        <v>55</v>
      </c>
      <c r="AD3" s="20" t="s">
        <v>56</v>
      </c>
      <c r="AE3" s="20" t="s">
        <v>60</v>
      </c>
      <c r="AF3" s="20" t="s">
        <v>58</v>
      </c>
      <c r="AG3" s="20" t="s">
        <v>57</v>
      </c>
      <c r="AH3" s="45" t="s">
        <v>136</v>
      </c>
      <c r="AI3" s="45" t="s">
        <v>138</v>
      </c>
      <c r="AJ3" s="22" t="s">
        <v>61</v>
      </c>
      <c r="AL3" s="68" t="s">
        <v>160</v>
      </c>
      <c r="AM3" s="66" t="s">
        <v>159</v>
      </c>
      <c r="AN3" s="66" t="s">
        <v>162</v>
      </c>
      <c r="AO3" s="66" t="s">
        <v>158</v>
      </c>
      <c r="AP3" s="66" t="s">
        <v>35</v>
      </c>
      <c r="AQ3" s="66" t="s">
        <v>36</v>
      </c>
      <c r="AR3" s="66" t="s">
        <v>37</v>
      </c>
      <c r="AS3" s="66" t="s">
        <v>39</v>
      </c>
      <c r="AT3" s="66" t="s">
        <v>33</v>
      </c>
      <c r="AU3" s="66" t="s">
        <v>44</v>
      </c>
      <c r="AV3" s="66" t="s">
        <v>40</v>
      </c>
      <c r="AW3" s="66" t="s">
        <v>41</v>
      </c>
      <c r="AX3" s="66" t="s">
        <v>59</v>
      </c>
      <c r="AY3" s="66" t="s">
        <v>42</v>
      </c>
      <c r="AZ3" s="66" t="s">
        <v>43</v>
      </c>
      <c r="BA3" s="66" t="s">
        <v>134</v>
      </c>
      <c r="BB3" s="66" t="s">
        <v>139</v>
      </c>
      <c r="BC3" s="66" t="s">
        <v>38</v>
      </c>
      <c r="BD3" s="67" t="s">
        <v>45</v>
      </c>
      <c r="BE3" s="67" t="s">
        <v>47</v>
      </c>
      <c r="BF3" s="66" t="s">
        <v>48</v>
      </c>
      <c r="BG3" s="66" t="s">
        <v>50</v>
      </c>
      <c r="BH3" s="66" t="s">
        <v>51</v>
      </c>
      <c r="BI3" s="66" t="s">
        <v>49</v>
      </c>
      <c r="BJ3" s="66" t="s">
        <v>52</v>
      </c>
      <c r="BK3" s="66" t="s">
        <v>53</v>
      </c>
      <c r="BL3" s="66" t="s">
        <v>54</v>
      </c>
      <c r="BM3" s="66" t="s">
        <v>121</v>
      </c>
      <c r="BN3" s="66" t="s">
        <v>55</v>
      </c>
      <c r="BO3" s="66" t="s">
        <v>56</v>
      </c>
      <c r="BP3" s="66" t="s">
        <v>60</v>
      </c>
      <c r="BQ3" s="66" t="s">
        <v>58</v>
      </c>
      <c r="BR3" s="65" t="s">
        <v>57</v>
      </c>
    </row>
    <row r="4" spans="2:70" ht="16.5" thickTop="1" thickBot="1">
      <c r="B4" s="21" t="s">
        <v>1</v>
      </c>
      <c r="C4" s="2" t="s">
        <v>172</v>
      </c>
      <c r="D4" s="23" t="s">
        <v>92</v>
      </c>
      <c r="E4" s="38">
        <f>IFERROR(VLOOKUP($C4,LicencesSep24!$C$2:$AF$27,3,FALSE),0)</f>
        <v>7</v>
      </c>
      <c r="F4" s="38">
        <f>IFERROR(VLOOKUP($C4,LicencesSep24!$C$2:$AF$27,4,FALSE),0)</f>
        <v>1</v>
      </c>
      <c r="G4" s="38">
        <f>IFERROR(VLOOKUP($C4,LicencesSep24!$C$2:$AF$27,5,FALSE),0)</f>
        <v>1</v>
      </c>
      <c r="H4" s="38">
        <f>IFERROR(VLOOKUP($C4,LicencesSep24!$C$2:$AF$27,6,FALSE),0)</f>
        <v>0</v>
      </c>
      <c r="I4" s="38">
        <f>IFERROR(VLOOKUP($C4,LicencesSep24!$C$2:$AF$27,7,FALSE),0)</f>
        <v>0</v>
      </c>
      <c r="J4" s="38">
        <f>IFERROR(VLOOKUP($C4,LicencesSep24!$C$2:$AF$27,8,FALSE),0)</f>
        <v>19</v>
      </c>
      <c r="K4" s="38">
        <f>IFERROR(VLOOKUP($C4,LicencesSep24!$C$2:$AF$27,9,FALSE),0)</f>
        <v>1</v>
      </c>
      <c r="L4" s="38">
        <f>IFERROR(VLOOKUP($C4,LicencesSep24!$C$2:$AF$27,10,FALSE),0)</f>
        <v>4</v>
      </c>
      <c r="M4" s="38">
        <f>IFERROR(VLOOKUP($C4,LicencesSep24!$C$2:$AF$27,14,FALSE),0)</f>
        <v>0</v>
      </c>
      <c r="N4" s="38">
        <f>IFERROR(VLOOKUP($C4,LicencesSep24!$C$2:$AF$27,11,FALSE),0)</f>
        <v>6</v>
      </c>
      <c r="O4" s="38">
        <f>IFERROR(VLOOKUP($C4,LicencesSep24!$C$2:$AF$27,12,FALSE),0)</f>
        <v>0</v>
      </c>
      <c r="P4" s="38">
        <f>IFERROR(VLOOKUP($C4,LicencesSep24!$C$2:$AF$27,13,FALSE),0)</f>
        <v>7</v>
      </c>
      <c r="Q4" s="38">
        <f>IFERROR(VLOOKUP($C4,LicencesSep24!$C$2:$AF$27,15,FALSE),0)</f>
        <v>1</v>
      </c>
      <c r="R4" s="38">
        <f>IFERROR(VLOOKUP($C4,LicencesSep24!$C$2:$AF$27,16,FALSE),0)</f>
        <v>0</v>
      </c>
      <c r="S4" s="38">
        <f>IFERROR(VLOOKUP($C4,LicencesSep24!$C$2:$AF$27,17,FALSE),0)</f>
        <v>7</v>
      </c>
      <c r="T4" s="38"/>
      <c r="U4" s="38">
        <f>IFERROR(VLOOKUP($C4,LicencesSep24!$C$2:$AF$27,18,FALSE),0)</f>
        <v>12</v>
      </c>
      <c r="V4" s="38">
        <f>IFERROR(VLOOKUP($C4,LicencesSep24!$C$2:$AF$27,19,FALSE),0)</f>
        <v>0</v>
      </c>
      <c r="W4" s="38">
        <f>IFERROR(VLOOKUP($C4,LicencesSep24!$C$2:$AF$27,20,FALSE),0)</f>
        <v>0</v>
      </c>
      <c r="X4" s="38">
        <f>IFERROR(VLOOKUP($C4,LicencesSep24!$C$2:$AF$27,21,FALSE),0)</f>
        <v>0</v>
      </c>
      <c r="Y4" s="38">
        <f>IFERROR(VLOOKUP($C4,LicencesSep24!$C$2:$AF$27,22,FALSE),0)</f>
        <v>0</v>
      </c>
      <c r="Z4" s="38">
        <f>IFERROR(VLOOKUP($C4,LicencesSep24!$C$2:$AF$27,23,FALSE),0)</f>
        <v>5</v>
      </c>
      <c r="AA4" s="38">
        <f>IFERROR(VLOOKUP($C4,LicencesSep24!$C$2:$AF$27,24,FALSE),0)</f>
        <v>0</v>
      </c>
      <c r="AB4" s="38">
        <f>IFERROR(VLOOKUP($C4,LicencesSep24!$C$2:$AF$27,25,FALSE),0)</f>
        <v>2</v>
      </c>
      <c r="AC4" s="38">
        <f>IFERROR(VLOOKUP($C4,LicencesSep24!$C$2:$AF$27,26,FALSE),0)</f>
        <v>1</v>
      </c>
      <c r="AD4" s="38">
        <f>IFERROR(VLOOKUP($C4,LicencesSep24!$C$2:$AF$27,27,FALSE),0)</f>
        <v>5</v>
      </c>
      <c r="AE4" s="38">
        <f>IFERROR(VLOOKUP($C4,LicencesSep24!$C$2:$AF$27,28,FALSE),0)</f>
        <v>3</v>
      </c>
      <c r="AF4" s="38">
        <f>IFERROR(VLOOKUP($C4,LicencesSep24!$C$2:$AF$27,29,FALSE),0)</f>
        <v>1</v>
      </c>
      <c r="AG4" s="38">
        <f>IFERROR(VLOOKUP($C4,LicencesSep24!$C$2:$AF$27,30,FALSE),0)</f>
        <v>0</v>
      </c>
      <c r="AH4" s="38">
        <f>IFERROR(VLOOKUP($C4,LicencesSep24!$C$2:$AF$27,31,FALSE),0)</f>
        <v>0</v>
      </c>
      <c r="AI4" s="38"/>
      <c r="AJ4" s="39">
        <f>SUM(E4:AI4)</f>
        <v>83</v>
      </c>
      <c r="AL4" s="55" t="s">
        <v>11</v>
      </c>
      <c r="AM4" s="56" t="s">
        <v>101</v>
      </c>
      <c r="AN4" s="53">
        <v>6</v>
      </c>
      <c r="AO4" s="53">
        <v>32</v>
      </c>
      <c r="AP4" s="53">
        <v>1</v>
      </c>
      <c r="AQ4" s="53">
        <v>0</v>
      </c>
      <c r="AR4" s="53">
        <v>0</v>
      </c>
      <c r="AS4" s="53">
        <v>0</v>
      </c>
      <c r="AT4" s="53">
        <v>0</v>
      </c>
      <c r="AU4" s="53">
        <v>1</v>
      </c>
      <c r="AV4" s="53">
        <v>0</v>
      </c>
      <c r="AW4" s="53">
        <v>0</v>
      </c>
      <c r="AX4" s="53">
        <v>13</v>
      </c>
      <c r="AY4" s="53">
        <v>3</v>
      </c>
      <c r="AZ4" s="53">
        <v>0</v>
      </c>
      <c r="BA4" s="53">
        <v>0</v>
      </c>
      <c r="BB4" s="53">
        <v>1</v>
      </c>
      <c r="BC4" s="53">
        <v>0</v>
      </c>
      <c r="BD4" s="53">
        <v>0</v>
      </c>
      <c r="BE4" s="53">
        <v>0</v>
      </c>
      <c r="BF4" s="53">
        <v>9</v>
      </c>
      <c r="BG4" s="53">
        <v>0</v>
      </c>
      <c r="BH4" s="53">
        <v>0</v>
      </c>
      <c r="BI4" s="53">
        <v>0</v>
      </c>
      <c r="BJ4" s="53">
        <v>0</v>
      </c>
      <c r="BK4" s="53">
        <v>0</v>
      </c>
      <c r="BL4" s="53">
        <v>0</v>
      </c>
      <c r="BM4" s="53">
        <v>0</v>
      </c>
      <c r="BN4" s="53">
        <v>0</v>
      </c>
      <c r="BO4" s="53">
        <v>0</v>
      </c>
      <c r="BP4" s="53">
        <v>4</v>
      </c>
      <c r="BQ4" s="53">
        <v>0</v>
      </c>
      <c r="BR4" s="63">
        <v>0</v>
      </c>
    </row>
    <row r="5" spans="2:70" ht="16.5" thickTop="1" thickBot="1">
      <c r="B5" s="21" t="s">
        <v>1</v>
      </c>
      <c r="C5" s="2" t="s">
        <v>228</v>
      </c>
      <c r="D5" s="23" t="s">
        <v>93</v>
      </c>
      <c r="E5" s="38">
        <f>IFERROR(VLOOKUP($C5,LicencesSep24!$C$2:$AF$27,3,FALSE),0)</f>
        <v>0</v>
      </c>
      <c r="F5" s="38">
        <f>IFERROR(VLOOKUP($C5,LicencesSep24!$C$2:$AF$27,4,FALSE),0)</f>
        <v>0</v>
      </c>
      <c r="G5" s="38">
        <f>IFERROR(VLOOKUP($C5,LicencesSep24!$C$2:$AF$27,5,FALSE),0)</f>
        <v>0</v>
      </c>
      <c r="H5" s="38">
        <f>IFERROR(VLOOKUP($C5,LicencesSep24!$C$2:$AF$27,6,FALSE),0)</f>
        <v>0</v>
      </c>
      <c r="I5" s="38">
        <f>IFERROR(VLOOKUP($C5,LicencesSep24!$C$2:$AF$27,7,FALSE),0)</f>
        <v>1</v>
      </c>
      <c r="J5" s="38">
        <f>IFERROR(VLOOKUP($C5,LicencesSep24!$C$2:$AF$27,8,FALSE),0)</f>
        <v>6</v>
      </c>
      <c r="K5" s="38">
        <f>IFERROR(VLOOKUP($C5,LicencesSep24!$C$2:$AF$27,9,FALSE),0)</f>
        <v>5</v>
      </c>
      <c r="L5" s="38">
        <f>IFERROR(VLOOKUP($C5,LicencesSep24!$C$2:$AF$27,10,FALSE),0)</f>
        <v>0</v>
      </c>
      <c r="M5" s="38">
        <f>IFERROR(VLOOKUP($C5,LicencesSep24!$C$2:$AF$27,14,FALSE),0)</f>
        <v>0</v>
      </c>
      <c r="N5" s="38">
        <f>IFERROR(VLOOKUP($C5,LicencesSep24!$C$2:$AF$27,11,FALSE),0)</f>
        <v>1</v>
      </c>
      <c r="O5" s="38">
        <f>IFERROR(VLOOKUP($C5,LicencesSep24!$C$2:$AF$27,12,FALSE),0)</f>
        <v>1</v>
      </c>
      <c r="P5" s="38">
        <f>IFERROR(VLOOKUP($C5,LicencesSep24!$C$2:$AF$27,13,FALSE),0)</f>
        <v>0</v>
      </c>
      <c r="Q5" s="38">
        <f>IFERROR(VLOOKUP($C5,LicencesSep24!$C$2:$AF$27,15,FALSE),0)</f>
        <v>0</v>
      </c>
      <c r="R5" s="38">
        <f>IFERROR(VLOOKUP($C5,LicencesSep24!$C$2:$AF$27,16,FALSE),0)</f>
        <v>0</v>
      </c>
      <c r="S5" s="38">
        <f>IFERROR(VLOOKUP($C5,LicencesSep24!$C$2:$AF$27,17,FALSE),0)</f>
        <v>0</v>
      </c>
      <c r="T5" s="38"/>
      <c r="U5" s="38">
        <f>IFERROR(VLOOKUP($C5,LicencesSep24!$C$2:$AF$27,18,FALSE),0)</f>
        <v>3</v>
      </c>
      <c r="V5" s="38">
        <f>IFERROR(VLOOKUP($C5,LicencesSep24!$C$2:$AF$27,19,FALSE),0)</f>
        <v>0</v>
      </c>
      <c r="W5" s="38">
        <f>IFERROR(VLOOKUP($C5,LicencesSep24!$C$2:$AF$27,20,FALSE),0)</f>
        <v>0</v>
      </c>
      <c r="X5" s="38">
        <f>IFERROR(VLOOKUP($C5,LicencesSep24!$C$2:$AF$27,21,FALSE),0)</f>
        <v>0</v>
      </c>
      <c r="Y5" s="38">
        <f>IFERROR(VLOOKUP($C5,LicencesSep24!$C$2:$AF$27,22,FALSE),0)</f>
        <v>0</v>
      </c>
      <c r="Z5" s="38">
        <f>IFERROR(VLOOKUP($C5,LicencesSep24!$C$2:$AF$27,23,FALSE),0)</f>
        <v>0</v>
      </c>
      <c r="AA5" s="38">
        <f>IFERROR(VLOOKUP($C5,LicencesSep24!$C$2:$AF$27,24,FALSE),0)</f>
        <v>0</v>
      </c>
      <c r="AB5" s="38">
        <f>IFERROR(VLOOKUP($C5,LicencesSep24!$C$2:$AF$27,25,FALSE),0)</f>
        <v>0</v>
      </c>
      <c r="AC5" s="38">
        <f>IFERROR(VLOOKUP($C5,LicencesSep24!$C$2:$AF$27,26,FALSE),0)</f>
        <v>0</v>
      </c>
      <c r="AD5" s="38">
        <f>IFERROR(VLOOKUP($C5,LicencesSep24!$C$2:$AF$27,27,FALSE),0)</f>
        <v>0</v>
      </c>
      <c r="AE5" s="38">
        <f>IFERROR(VLOOKUP($C5,LicencesSep24!$C$2:$AF$27,28,FALSE),0)</f>
        <v>3</v>
      </c>
      <c r="AF5" s="38">
        <f>IFERROR(VLOOKUP($C5,LicencesSep24!$C$2:$AF$27,29,FALSE),0)</f>
        <v>0</v>
      </c>
      <c r="AG5" s="38">
        <f>IFERROR(VLOOKUP($C5,LicencesSep24!$C$2:$AF$27,30,FALSE),0)</f>
        <v>0</v>
      </c>
      <c r="AH5" s="38">
        <f>IFERROR(VLOOKUP($C5,#REF!,32,FALSE),0)</f>
        <v>0</v>
      </c>
      <c r="AI5" s="38"/>
      <c r="AJ5" s="39">
        <f t="shared" ref="AJ5:AJ29" si="0">SUM(E5:AI5)</f>
        <v>20</v>
      </c>
      <c r="AL5" s="55"/>
      <c r="AM5" s="56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63"/>
    </row>
    <row r="6" spans="2:70" ht="16.5" thickTop="1" thickBot="1">
      <c r="B6" s="21" t="s">
        <v>1</v>
      </c>
      <c r="C6" s="2" t="s">
        <v>229</v>
      </c>
      <c r="D6" s="108" t="s">
        <v>93</v>
      </c>
      <c r="E6" s="38">
        <f>IFERROR(VLOOKUP($C6,LicencesSep24!$C$2:$AF$27,3,FALSE),0)</f>
        <v>0</v>
      </c>
      <c r="F6" s="38">
        <f>IFERROR(VLOOKUP($C6,LicencesSep24!$C$2:$AF$27,4,FALSE),0)</f>
        <v>0</v>
      </c>
      <c r="G6" s="38">
        <f>IFERROR(VLOOKUP($C6,LicencesSep24!$C$2:$AF$27,5,FALSE),0)</f>
        <v>0</v>
      </c>
      <c r="H6" s="38">
        <f>IFERROR(VLOOKUP($C6,LicencesSep24!$C$2:$AF$27,6,FALSE),0)</f>
        <v>0</v>
      </c>
      <c r="I6" s="38">
        <f>IFERROR(VLOOKUP($C6,LicencesSep24!$C$2:$AF$27,7,FALSE),0)</f>
        <v>0</v>
      </c>
      <c r="J6" s="38">
        <f>IFERROR(VLOOKUP($C6,LicencesSep24!$C$2:$AF$27,8,FALSE),0)</f>
        <v>0</v>
      </c>
      <c r="K6" s="38">
        <f>IFERROR(VLOOKUP($C6,LicencesSep24!$C$2:$AF$27,9,FALSE),0)</f>
        <v>0</v>
      </c>
      <c r="L6" s="38">
        <f>IFERROR(VLOOKUP($C6,LicencesSep24!$C$2:$AF$27,10,FALSE),0)</f>
        <v>0</v>
      </c>
      <c r="M6" s="38">
        <f>IFERROR(VLOOKUP($C6,LicencesSep24!$C$2:$AF$27,14,FALSE),0)</f>
        <v>0</v>
      </c>
      <c r="N6" s="38">
        <f>IFERROR(VLOOKUP($C6,LicencesSep24!$C$2:$AF$27,11,FALSE),0)</f>
        <v>0</v>
      </c>
      <c r="O6" s="38">
        <f>IFERROR(VLOOKUP($C6,LicencesSep24!$C$2:$AF$27,12,FALSE),0)</f>
        <v>0</v>
      </c>
      <c r="P6" s="38">
        <f>IFERROR(VLOOKUP($C6,LicencesSep24!$C$2:$AF$27,13,FALSE),0)</f>
        <v>0</v>
      </c>
      <c r="Q6" s="38">
        <f>IFERROR(VLOOKUP($C6,LicencesSep24!$C$2:$AF$27,15,FALSE),0)</f>
        <v>0</v>
      </c>
      <c r="R6" s="38">
        <f>IFERROR(VLOOKUP($C6,LicencesSep24!$C$2:$AF$27,16,FALSE),0)</f>
        <v>0</v>
      </c>
      <c r="S6" s="38">
        <f>IFERROR(VLOOKUP($C6,LicencesSep24!$C$2:$AF$27,17,FALSE),0)</f>
        <v>0</v>
      </c>
      <c r="T6" s="38"/>
      <c r="U6" s="38">
        <f>IFERROR(VLOOKUP($C6,LicencesSep24!$C$2:$AF$27,18,FALSE),0)</f>
        <v>0</v>
      </c>
      <c r="V6" s="38">
        <f>IFERROR(VLOOKUP($C6,LicencesSep24!$C$2:$AF$27,19,FALSE),0)</f>
        <v>0</v>
      </c>
      <c r="W6" s="38">
        <f>IFERROR(VLOOKUP($C6,LicencesSep24!$C$2:$AF$27,20,FALSE),0)</f>
        <v>0</v>
      </c>
      <c r="X6" s="38">
        <f>IFERROR(VLOOKUP($C6,LicencesSep24!$C$2:$AF$27,21,FALSE),0)</f>
        <v>0</v>
      </c>
      <c r="Y6" s="38">
        <f>IFERROR(VLOOKUP($C6,LicencesSep24!$C$2:$AF$27,22,FALSE),0)</f>
        <v>0</v>
      </c>
      <c r="Z6" s="38">
        <f>IFERROR(VLOOKUP($C6,LicencesSep24!$C$2:$AF$27,23,FALSE),0)</f>
        <v>0</v>
      </c>
      <c r="AA6" s="38">
        <f>IFERROR(VLOOKUP($C6,LicencesSep24!$C$2:$AF$27,24,FALSE),0)</f>
        <v>0</v>
      </c>
      <c r="AB6" s="38">
        <f>IFERROR(VLOOKUP($C6,LicencesSep24!$C$2:$AF$27,25,FALSE),0)</f>
        <v>0</v>
      </c>
      <c r="AC6" s="38">
        <f>IFERROR(VLOOKUP($C6,LicencesSep24!$C$2:$AF$27,26,FALSE),0)</f>
        <v>0</v>
      </c>
      <c r="AD6" s="38">
        <f>IFERROR(VLOOKUP($C6,LicencesSep24!$C$2:$AF$27,27,FALSE),0)</f>
        <v>0</v>
      </c>
      <c r="AE6" s="38">
        <f>IFERROR(VLOOKUP($C6,LicencesSep24!$C$2:$AF$27,28,FALSE),0)</f>
        <v>0</v>
      </c>
      <c r="AF6" s="38">
        <f>IFERROR(VLOOKUP($C6,LicencesSep24!$C$2:$AF$27,29,FALSE),0)</f>
        <v>0</v>
      </c>
      <c r="AG6" s="38">
        <f>IFERROR(VLOOKUP($C6,LicencesSep24!$C$2:$AF$27,30,FALSE),0)</f>
        <v>0</v>
      </c>
      <c r="AH6" s="38">
        <f>IFERROR(VLOOKUP($C6,#REF!,32,FALSE),0)</f>
        <v>0</v>
      </c>
      <c r="AI6" s="38"/>
      <c r="AJ6" s="39">
        <f t="shared" si="0"/>
        <v>0</v>
      </c>
      <c r="AL6" s="55" t="s">
        <v>26</v>
      </c>
      <c r="AM6" s="56" t="s">
        <v>157</v>
      </c>
      <c r="AN6" s="53">
        <v>34</v>
      </c>
      <c r="AO6" s="53">
        <v>16</v>
      </c>
      <c r="AP6" s="53">
        <v>0</v>
      </c>
      <c r="AQ6" s="53">
        <v>0</v>
      </c>
      <c r="AR6" s="53">
        <v>0</v>
      </c>
      <c r="AS6" s="53">
        <v>0</v>
      </c>
      <c r="AT6" s="53">
        <v>0</v>
      </c>
      <c r="AU6" s="53">
        <v>0</v>
      </c>
      <c r="AV6" s="53">
        <v>0</v>
      </c>
      <c r="AW6" s="53">
        <v>0</v>
      </c>
      <c r="AX6" s="53">
        <v>4</v>
      </c>
      <c r="AY6" s="53">
        <v>0</v>
      </c>
      <c r="AZ6" s="53">
        <v>0</v>
      </c>
      <c r="BA6" s="53">
        <v>0</v>
      </c>
      <c r="BB6" s="53">
        <v>0</v>
      </c>
      <c r="BC6" s="53">
        <v>0</v>
      </c>
      <c r="BD6" s="53">
        <v>0</v>
      </c>
      <c r="BE6" s="53">
        <v>0</v>
      </c>
      <c r="BF6" s="53">
        <v>9</v>
      </c>
      <c r="BG6" s="53">
        <v>0</v>
      </c>
      <c r="BH6" s="53">
        <v>0</v>
      </c>
      <c r="BI6" s="53">
        <v>0</v>
      </c>
      <c r="BJ6" s="53">
        <v>0</v>
      </c>
      <c r="BK6" s="53">
        <v>0</v>
      </c>
      <c r="BL6" s="53">
        <v>0</v>
      </c>
      <c r="BM6" s="53">
        <v>1</v>
      </c>
      <c r="BN6" s="53">
        <v>1</v>
      </c>
      <c r="BO6" s="53">
        <v>1</v>
      </c>
      <c r="BP6" s="53">
        <v>0</v>
      </c>
      <c r="BQ6" s="53">
        <v>0</v>
      </c>
      <c r="BR6" s="63">
        <v>0</v>
      </c>
    </row>
    <row r="7" spans="2:70" ht="16.5" thickTop="1" thickBot="1">
      <c r="B7" s="21" t="s">
        <v>1</v>
      </c>
      <c r="C7" s="107" t="s">
        <v>226</v>
      </c>
      <c r="D7" s="108" t="s">
        <v>227</v>
      </c>
      <c r="E7" s="38">
        <f>IFERROR(VLOOKUP($C7,LicencesSep24!$C$2:$AF$27,3,FALSE),0)</f>
        <v>0</v>
      </c>
      <c r="F7" s="38">
        <f>IFERROR(VLOOKUP($C7,LicencesSep24!$C$2:$AF$27,4,FALSE),0)</f>
        <v>0</v>
      </c>
      <c r="G7" s="38">
        <f>IFERROR(VLOOKUP($C7,LicencesSep24!$C$2:$AF$27,5,FALSE),0)</f>
        <v>0</v>
      </c>
      <c r="H7" s="38">
        <f>IFERROR(VLOOKUP($C7,LicencesSep24!$C$2:$AF$27,6,FALSE),0)</f>
        <v>0</v>
      </c>
      <c r="I7" s="38">
        <f>IFERROR(VLOOKUP($C7,LicencesSep24!$C$2:$AF$27,7,FALSE),0)</f>
        <v>0</v>
      </c>
      <c r="J7" s="38">
        <f>IFERROR(VLOOKUP($C7,LicencesSep24!$C$2:$AF$27,8,FALSE),0)</f>
        <v>0</v>
      </c>
      <c r="K7" s="38">
        <f>IFERROR(VLOOKUP($C7,LicencesSep24!$C$2:$AF$27,9,FALSE),0)</f>
        <v>0</v>
      </c>
      <c r="L7" s="38">
        <f>IFERROR(VLOOKUP($C7,LicencesSep24!$C$2:$AF$27,10,FALSE),0)</f>
        <v>0</v>
      </c>
      <c r="M7" s="38">
        <f>IFERROR(VLOOKUP($C7,LicencesSep24!$C$2:$AF$27,14,FALSE),0)</f>
        <v>0</v>
      </c>
      <c r="N7" s="38">
        <f>IFERROR(VLOOKUP($C7,LicencesSep24!$C$2:$AF$27,11,FALSE),0)</f>
        <v>0</v>
      </c>
      <c r="O7" s="38">
        <f>IFERROR(VLOOKUP($C7,LicencesSep24!$C$2:$AF$27,12,FALSE),0)</f>
        <v>0</v>
      </c>
      <c r="P7" s="38">
        <f>IFERROR(VLOOKUP($C7,LicencesSep24!$C$2:$AF$27,13,FALSE),0)</f>
        <v>0</v>
      </c>
      <c r="Q7" s="38">
        <f>IFERROR(VLOOKUP($C7,LicencesSep24!$C$2:$AF$27,15,FALSE),0)</f>
        <v>0</v>
      </c>
      <c r="R7" s="38">
        <f>IFERROR(VLOOKUP($C7,LicencesSep24!$C$2:$AF$27,16,FALSE),0)</f>
        <v>0</v>
      </c>
      <c r="S7" s="38">
        <f>IFERROR(VLOOKUP($C7,LicencesSep24!$C$2:$AF$27,17,FALSE),0)</f>
        <v>0</v>
      </c>
      <c r="T7" s="38">
        <f>IFERROR(VLOOKUP($C7,#REF!,19,FALSE),0)</f>
        <v>0</v>
      </c>
      <c r="U7" s="38">
        <f>IFERROR(VLOOKUP($C7,LicencesSep24!$C$2:$AF$27,18,FALSE),0)</f>
        <v>0</v>
      </c>
      <c r="V7" s="38">
        <f>IFERROR(VLOOKUP($C7,LicencesSep24!$C$2:$AF$27,19,FALSE),0)</f>
        <v>0</v>
      </c>
      <c r="W7" s="38">
        <f>IFERROR(VLOOKUP($C7,LicencesSep24!$C$2:$AF$27,20,FALSE),0)</f>
        <v>0</v>
      </c>
      <c r="X7" s="38">
        <f>IFERROR(VLOOKUP($C7,LicencesSep24!$C$2:$AF$27,21,FALSE),0)</f>
        <v>0</v>
      </c>
      <c r="Y7" s="38">
        <f>IFERROR(VLOOKUP($C7,LicencesSep24!$C$2:$AF$27,22,FALSE),0)</f>
        <v>0</v>
      </c>
      <c r="Z7" s="38">
        <f>IFERROR(VLOOKUP($C7,LicencesSep24!$C$2:$AF$27,23,FALSE),0)</f>
        <v>0</v>
      </c>
      <c r="AA7" s="38">
        <f>IFERROR(VLOOKUP($C7,LicencesSep24!$C$2:$AF$27,24,FALSE),0)</f>
        <v>0</v>
      </c>
      <c r="AB7" s="38">
        <f>IFERROR(VLOOKUP($C7,LicencesSep24!$C$2:$AF$27,25,FALSE),0)</f>
        <v>0</v>
      </c>
      <c r="AC7" s="86">
        <f>IFERROR(VLOOKUP($C7,LicencesSep24!$C$2:$AF$27,26,FALSE),0)</f>
        <v>0</v>
      </c>
      <c r="AD7" s="38">
        <f>IFERROR(VLOOKUP($C7,LicencesSep24!$C$2:$AF$27,27,FALSE),0)</f>
        <v>0</v>
      </c>
      <c r="AE7" s="38">
        <f>IFERROR(VLOOKUP($C7,LicencesSep24!$C$2:$AF$27,28,FALSE),0)</f>
        <v>0</v>
      </c>
      <c r="AF7" s="38">
        <f>IFERROR(VLOOKUP($C7,LicencesSep24!$C$2:$AF$27,29,FALSE),0)</f>
        <v>0</v>
      </c>
      <c r="AG7" s="38">
        <f>IFERROR(VLOOKUP($C7,LicencesSep24!$C$2:$AF$27,30,FALSE),0)</f>
        <v>0</v>
      </c>
      <c r="AH7" s="38">
        <f>IFERROR(VLOOKUP($C7,#REF!,32,FALSE),0)</f>
        <v>0</v>
      </c>
      <c r="AI7" s="38"/>
      <c r="AJ7" s="39"/>
      <c r="AL7" s="55"/>
      <c r="AM7" s="56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63"/>
    </row>
    <row r="8" spans="2:70" ht="16.5" thickTop="1" thickBot="1">
      <c r="B8" s="21" t="s">
        <v>1</v>
      </c>
      <c r="C8" s="76" t="s">
        <v>171</v>
      </c>
      <c r="D8" s="77" t="s">
        <v>170</v>
      </c>
      <c r="E8" s="38">
        <f>IFERROR(VLOOKUP($C8,LicencesSep24!$C$2:$AF$27,3,FALSE),0)</f>
        <v>0</v>
      </c>
      <c r="F8" s="38">
        <f>IFERROR(VLOOKUP($C8,LicencesSep24!$C$2:$AF$27,4,FALSE),0)</f>
        <v>0</v>
      </c>
      <c r="G8" s="38">
        <f>IFERROR(VLOOKUP($C8,LicencesSep24!$C$2:$AF$27,5,FALSE),0)</f>
        <v>0</v>
      </c>
      <c r="H8" s="38">
        <f>IFERROR(VLOOKUP($C8,LicencesSep24!$C$2:$AF$27,6,FALSE),0)</f>
        <v>0</v>
      </c>
      <c r="I8" s="38">
        <f>IFERROR(VLOOKUP($C8,LicencesSep24!$C$2:$AF$27,7,FALSE),0)</f>
        <v>0</v>
      </c>
      <c r="J8" s="38">
        <f>IFERROR(VLOOKUP($C8,LicencesSep24!$C$2:$AF$27,8,FALSE),0)</f>
        <v>0</v>
      </c>
      <c r="K8" s="38">
        <f>IFERROR(VLOOKUP($C8,LicencesSep24!$C$2:$AF$27,9,FALSE),0)</f>
        <v>0</v>
      </c>
      <c r="L8" s="38">
        <f>IFERROR(VLOOKUP($C8,LicencesSep24!$C$2:$AF$27,10,FALSE),0)</f>
        <v>0</v>
      </c>
      <c r="M8" s="38">
        <f>IFERROR(VLOOKUP($C8,LicencesSep24!$C$2:$AF$27,14,FALSE),0)</f>
        <v>0</v>
      </c>
      <c r="N8" s="38">
        <f>IFERROR(VLOOKUP($C8,LicencesSep24!$C$2:$AF$27,11,FALSE),0)</f>
        <v>0</v>
      </c>
      <c r="O8" s="38">
        <f>IFERROR(VLOOKUP($C8,LicencesSep24!$C$2:$AF$27,12,FALSE),0)</f>
        <v>0</v>
      </c>
      <c r="P8" s="38">
        <f>IFERROR(VLOOKUP($C8,LicencesSep24!$C$2:$AF$27,13,FALSE),0)</f>
        <v>0</v>
      </c>
      <c r="Q8" s="38">
        <f>IFERROR(VLOOKUP($C8,LicencesSep24!$C$2:$AF$27,15,FALSE),0)</f>
        <v>0</v>
      </c>
      <c r="R8" s="38">
        <f>IFERROR(VLOOKUP($C8,LicencesSep24!$C$2:$AF$27,16,FALSE),0)</f>
        <v>0</v>
      </c>
      <c r="S8" s="38">
        <f>IFERROR(VLOOKUP($C8,LicencesSep24!$C$2:$AF$27,17,FALSE),0)</f>
        <v>0</v>
      </c>
      <c r="T8" s="38"/>
      <c r="U8" s="38">
        <f>IFERROR(VLOOKUP($C8,LicencesSep24!$C$2:$AF$27,18,FALSE),0)</f>
        <v>0</v>
      </c>
      <c r="V8" s="38">
        <f>IFERROR(VLOOKUP($C8,LicencesSep24!$C$2:$AF$27,19,FALSE),0)</f>
        <v>0</v>
      </c>
      <c r="W8" s="38">
        <f>IFERROR(VLOOKUP($C8,LicencesSep24!$C$2:$AF$27,20,FALSE),0)</f>
        <v>0</v>
      </c>
      <c r="X8" s="38">
        <f>IFERROR(VLOOKUP($C8,LicencesSep24!$C$2:$AF$27,21,FALSE),0)</f>
        <v>0</v>
      </c>
      <c r="Y8" s="38">
        <f>IFERROR(VLOOKUP($C8,LicencesSep24!$C$2:$AF$27,22,FALSE),0)</f>
        <v>0</v>
      </c>
      <c r="Z8" s="38">
        <f>IFERROR(VLOOKUP($C8,LicencesSep24!$C$2:$AF$27,23,FALSE),0)</f>
        <v>0</v>
      </c>
      <c r="AA8" s="38">
        <f>IFERROR(VLOOKUP($C8,LicencesSep24!$C$2:$AF$27,24,FALSE),0)</f>
        <v>0</v>
      </c>
      <c r="AB8" s="38">
        <f>IFERROR(VLOOKUP($C8,LicencesSep24!$C$2:$AF$27,25,FALSE),0)</f>
        <v>0</v>
      </c>
      <c r="AC8" s="38">
        <f>IFERROR(VLOOKUP($C8,LicencesSep24!$C$2:$AF$27,26,FALSE),0)</f>
        <v>0</v>
      </c>
      <c r="AD8" s="38">
        <f>IFERROR(VLOOKUP($C8,LicencesSep24!$C$2:$AF$27,27,FALSE),0)</f>
        <v>0</v>
      </c>
      <c r="AE8" s="38">
        <f>IFERROR(VLOOKUP($C8,LicencesSep24!$C$2:$AF$27,28,FALSE),0)</f>
        <v>0</v>
      </c>
      <c r="AF8" s="38">
        <f>IFERROR(VLOOKUP($C8,LicencesSep24!$C$2:$AF$27,29,FALSE),0)</f>
        <v>0</v>
      </c>
      <c r="AG8" s="38">
        <f>IFERROR(VLOOKUP($C8,LicencesSep24!$C$2:$AF$27,30,FALSE),0)</f>
        <v>0</v>
      </c>
      <c r="AH8" s="38">
        <f>IFERROR(VLOOKUP($C8,#REF!,32,FALSE),0)</f>
        <v>0</v>
      </c>
      <c r="AI8" s="38"/>
      <c r="AJ8" s="39">
        <f t="shared" si="0"/>
        <v>0</v>
      </c>
      <c r="AL8" s="55"/>
      <c r="AM8" s="56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63"/>
    </row>
    <row r="9" spans="2:70" ht="16.5" thickTop="1" thickBot="1">
      <c r="B9" s="21" t="s">
        <v>3</v>
      </c>
      <c r="C9" s="2" t="s">
        <v>119</v>
      </c>
      <c r="D9" s="23" t="s">
        <v>94</v>
      </c>
      <c r="E9" s="38">
        <f>IFERROR(VLOOKUP($C9,LicencesSep24!$C$2:$AF$27,3,FALSE),0)</f>
        <v>19</v>
      </c>
      <c r="F9" s="38">
        <f>IFERROR(VLOOKUP($C9,LicencesSep24!$C$2:$AF$27,4,FALSE),0)</f>
        <v>19</v>
      </c>
      <c r="G9" s="38">
        <f>IFERROR(VLOOKUP($C9,LicencesSep24!$C$2:$AF$27,5,FALSE),0)</f>
        <v>2</v>
      </c>
      <c r="H9" s="38">
        <f>IFERROR(VLOOKUP($C9,LicencesSep24!$C$2:$AF$27,6,FALSE),0)</f>
        <v>0</v>
      </c>
      <c r="I9" s="38">
        <f>IFERROR(VLOOKUP($C9,LicencesSep24!$C$2:$AF$27,7,FALSE),0)</f>
        <v>7</v>
      </c>
      <c r="J9" s="38">
        <f>IFERROR(VLOOKUP($C9,LicencesSep24!$C$2:$AF$27,8,FALSE),0)</f>
        <v>95</v>
      </c>
      <c r="K9" s="38">
        <f>IFERROR(VLOOKUP($C9,LicencesSep24!$C$2:$AF$27,9,FALSE),0)</f>
        <v>10</v>
      </c>
      <c r="L9" s="38">
        <f>IFERROR(VLOOKUP($C9,LicencesSep24!$C$2:$AF$27,10,FALSE),0)</f>
        <v>4</v>
      </c>
      <c r="M9" s="38">
        <f>IFERROR(VLOOKUP($C9,LicencesSep24!$C$2:$AF$27,14,FALSE),0)</f>
        <v>0</v>
      </c>
      <c r="N9" s="38">
        <f>IFERROR(VLOOKUP($C9,LicencesSep24!$C$2:$AF$27,11,FALSE),0)</f>
        <v>63</v>
      </c>
      <c r="O9" s="38">
        <f>IFERROR(VLOOKUP($C9,LicencesSep24!$C$2:$AF$27,12,FALSE),0)</f>
        <v>2</v>
      </c>
      <c r="P9" s="38">
        <f>IFERROR(VLOOKUP($C9,LicencesSep24!$C$2:$AF$27,13,FALSE),0)</f>
        <v>15</v>
      </c>
      <c r="Q9" s="38">
        <f>IFERROR(VLOOKUP($C9,LicencesSep24!$C$2:$AF$27,15,FALSE),0)</f>
        <v>5</v>
      </c>
      <c r="R9" s="38">
        <f>IFERROR(VLOOKUP($C9,LicencesSep24!$C$2:$AF$27,16,FALSE),0)</f>
        <v>8</v>
      </c>
      <c r="S9" s="38">
        <f>IFERROR(VLOOKUP($C9,LicencesSep24!$C$2:$AF$27,17,FALSE),0)</f>
        <v>3</v>
      </c>
      <c r="T9" s="38"/>
      <c r="U9" s="38">
        <f>IFERROR(VLOOKUP($C9,LicencesSep24!$C$2:$AF$27,18,FALSE),0)</f>
        <v>46</v>
      </c>
      <c r="V9" s="38">
        <f>IFERROR(VLOOKUP($C9,LicencesSep24!$C$2:$AF$27,19,FALSE),0)</f>
        <v>1</v>
      </c>
      <c r="W9" s="38">
        <f>IFERROR(VLOOKUP($C9,LicencesSep24!$C$2:$AF$27,20,FALSE),0)</f>
        <v>6</v>
      </c>
      <c r="X9" s="38">
        <f>IFERROR(VLOOKUP($C9,LicencesSep24!$C$2:$AF$27,21,FALSE),0)</f>
        <v>2</v>
      </c>
      <c r="Y9" s="38">
        <f>IFERROR(VLOOKUP($C9,LicencesSep24!$C$2:$AF$27,22,FALSE),0)</f>
        <v>1</v>
      </c>
      <c r="Z9" s="38">
        <f>IFERROR(VLOOKUP($C9,LicencesSep24!$C$2:$AF$27,23,FALSE),0)</f>
        <v>28</v>
      </c>
      <c r="AA9" s="38">
        <f>IFERROR(VLOOKUP($C9,LicencesSep24!$C$2:$AF$27,24,FALSE),0)</f>
        <v>0</v>
      </c>
      <c r="AB9" s="38">
        <f>IFERROR(VLOOKUP($C9,LicencesSep24!$C$2:$AF$27,25,FALSE),0)</f>
        <v>13</v>
      </c>
      <c r="AC9" s="38">
        <f>IFERROR(VLOOKUP($C9,LicencesSep24!$C$2:$AF$27,26,FALSE),0)</f>
        <v>7</v>
      </c>
      <c r="AD9" s="38">
        <f>IFERROR(VLOOKUP($C9,LicencesSep24!$C$2:$AF$27,27,FALSE),0)</f>
        <v>17</v>
      </c>
      <c r="AE9" s="38">
        <f>IFERROR(VLOOKUP($C9,LicencesSep24!$C$2:$AF$27,28,FALSE),0)</f>
        <v>3</v>
      </c>
      <c r="AF9" s="38">
        <f>IFERROR(VLOOKUP($C9,LicencesSep24!$C$2:$AF$27,29,FALSE),0)</f>
        <v>4</v>
      </c>
      <c r="AG9" s="38">
        <f>IFERROR(VLOOKUP($C9,LicencesSep24!$C$2:$AF$27,30,FALSE),0)</f>
        <v>1</v>
      </c>
      <c r="AH9" s="38">
        <f>IFERROR(VLOOKUP($C9,#REF!,32,FALSE),0)</f>
        <v>0</v>
      </c>
      <c r="AI9" s="38"/>
      <c r="AJ9" s="39">
        <f t="shared" si="0"/>
        <v>381</v>
      </c>
      <c r="AL9" s="64" t="s">
        <v>156</v>
      </c>
      <c r="AM9" s="56" t="s">
        <v>155</v>
      </c>
      <c r="AN9" s="53">
        <v>24</v>
      </c>
      <c r="AO9" s="53">
        <v>8</v>
      </c>
      <c r="AP9" s="53">
        <v>0</v>
      </c>
      <c r="AQ9" s="53">
        <v>2</v>
      </c>
      <c r="AR9" s="53">
        <v>0</v>
      </c>
      <c r="AS9" s="53">
        <v>0</v>
      </c>
      <c r="AT9" s="53">
        <v>0</v>
      </c>
      <c r="AU9" s="53">
        <v>0</v>
      </c>
      <c r="AV9" s="53">
        <v>0</v>
      </c>
      <c r="AW9" s="53">
        <v>0</v>
      </c>
      <c r="AX9" s="53">
        <v>0</v>
      </c>
      <c r="AY9" s="53">
        <v>0</v>
      </c>
      <c r="AZ9" s="53">
        <v>1</v>
      </c>
      <c r="BA9" s="53">
        <v>5</v>
      </c>
      <c r="BB9" s="53">
        <v>0</v>
      </c>
      <c r="BC9" s="53">
        <v>0</v>
      </c>
      <c r="BD9" s="53">
        <v>0</v>
      </c>
      <c r="BE9" s="53">
        <v>0</v>
      </c>
      <c r="BF9" s="53">
        <v>0</v>
      </c>
      <c r="BG9" s="53">
        <v>0</v>
      </c>
      <c r="BH9" s="53">
        <v>0</v>
      </c>
      <c r="BI9" s="53">
        <v>0</v>
      </c>
      <c r="BJ9" s="53">
        <v>0</v>
      </c>
      <c r="BK9" s="53">
        <v>0</v>
      </c>
      <c r="BL9" s="53">
        <v>0</v>
      </c>
      <c r="BM9" s="53">
        <v>0</v>
      </c>
      <c r="BN9" s="53">
        <v>0</v>
      </c>
      <c r="BO9" s="53">
        <v>0</v>
      </c>
      <c r="BP9" s="53">
        <v>0</v>
      </c>
      <c r="BQ9" s="53">
        <v>0</v>
      </c>
      <c r="BR9" s="63">
        <v>0</v>
      </c>
    </row>
    <row r="10" spans="2:70" ht="16.5" thickTop="1" thickBot="1">
      <c r="B10" s="21" t="s">
        <v>3</v>
      </c>
      <c r="C10" s="2" t="s">
        <v>125</v>
      </c>
      <c r="D10" s="23" t="s">
        <v>95</v>
      </c>
      <c r="E10" s="38">
        <f>IFERROR(VLOOKUP($C10,LicencesSep24!$C$2:$AF$27,3,FALSE),0)</f>
        <v>5</v>
      </c>
      <c r="F10" s="38">
        <f>IFERROR(VLOOKUP($C10,LicencesSep24!$C$2:$AF$27,4,FALSE),0)</f>
        <v>4</v>
      </c>
      <c r="G10" s="38">
        <f>IFERROR(VLOOKUP($C10,LicencesSep24!$C$2:$AF$27,5,FALSE),0)</f>
        <v>0</v>
      </c>
      <c r="H10" s="38">
        <f>IFERROR(VLOOKUP($C10,LicencesSep24!$C$2:$AF$27,6,FALSE),0)</f>
        <v>0</v>
      </c>
      <c r="I10" s="38">
        <f>IFERROR(VLOOKUP($C10,LicencesSep24!$C$2:$AF$27,7,FALSE),0)</f>
        <v>2</v>
      </c>
      <c r="J10" s="38">
        <f>IFERROR(VLOOKUP($C10,LicencesSep24!$C$2:$AF$27,8,FALSE),0)</f>
        <v>13</v>
      </c>
      <c r="K10" s="38">
        <f>IFERROR(VLOOKUP($C10,LicencesSep24!$C$2:$AF$27,9,FALSE),0)</f>
        <v>8</v>
      </c>
      <c r="L10" s="38">
        <f>IFERROR(VLOOKUP($C10,LicencesSep24!$C$2:$AF$27,10,FALSE),0)</f>
        <v>2</v>
      </c>
      <c r="M10" s="38">
        <f>IFERROR(VLOOKUP($C10,LicencesSep24!$C$2:$AF$27,14,FALSE),0)</f>
        <v>0</v>
      </c>
      <c r="N10" s="38">
        <f>IFERROR(VLOOKUP($C10,LicencesSep24!$C$2:$AF$27,11,FALSE),0)</f>
        <v>10</v>
      </c>
      <c r="O10" s="38">
        <f>IFERROR(VLOOKUP($C10,LicencesSep24!$C$2:$AF$27,12,FALSE),0)</f>
        <v>0</v>
      </c>
      <c r="P10" s="38">
        <f>IFERROR(VLOOKUP($C10,LicencesSep24!$C$2:$AF$27,13,FALSE),0)</f>
        <v>5</v>
      </c>
      <c r="Q10" s="38">
        <f>IFERROR(VLOOKUP($C10,LicencesSep24!$C$2:$AF$27,15,FALSE),0)</f>
        <v>0</v>
      </c>
      <c r="R10" s="38">
        <f>IFERROR(VLOOKUP($C10,LicencesSep24!$C$2:$AF$27,16,FALSE),0)</f>
        <v>0</v>
      </c>
      <c r="S10" s="38">
        <f>IFERROR(VLOOKUP($C10,LicencesSep24!$C$2:$AF$27,17,FALSE),0)</f>
        <v>0</v>
      </c>
      <c r="T10" s="38"/>
      <c r="U10" s="38">
        <f>IFERROR(VLOOKUP($C10,LicencesSep24!$C$2:$AF$27,18,FALSE),0)</f>
        <v>8</v>
      </c>
      <c r="V10" s="38">
        <f>IFERROR(VLOOKUP($C10,LicencesSep24!$C$2:$AF$27,19,FALSE),0)</f>
        <v>1</v>
      </c>
      <c r="W10" s="38">
        <f>IFERROR(VLOOKUP($C10,LicencesSep24!$C$2:$AF$27,20,FALSE),0)</f>
        <v>0</v>
      </c>
      <c r="X10" s="38">
        <f>IFERROR(VLOOKUP($C10,LicencesSep24!$C$2:$AF$27,21,FALSE),0)</f>
        <v>0</v>
      </c>
      <c r="Y10" s="38">
        <f>IFERROR(VLOOKUP($C10,LicencesSep24!$C$2:$AF$27,22,FALSE),0)</f>
        <v>0</v>
      </c>
      <c r="Z10" s="38">
        <f>IFERROR(VLOOKUP($C10,LicencesSep24!$C$2:$AF$27,23,FALSE),0)</f>
        <v>4</v>
      </c>
      <c r="AA10" s="38">
        <f>IFERROR(VLOOKUP($C10,LicencesSep24!$C$2:$AF$27,24,FALSE),0)</f>
        <v>0</v>
      </c>
      <c r="AB10" s="38">
        <f>IFERROR(VLOOKUP($C10,LicencesSep24!$C$2:$AF$27,25,FALSE),0)</f>
        <v>5</v>
      </c>
      <c r="AC10" s="38">
        <f>IFERROR(VLOOKUP($C10,LicencesSep24!$C$2:$AF$27,26,FALSE),0)</f>
        <v>0</v>
      </c>
      <c r="AD10" s="38">
        <f>IFERROR(VLOOKUP($C10,LicencesSep24!$C$2:$AF$27,27,FALSE),0)</f>
        <v>0</v>
      </c>
      <c r="AE10" s="38">
        <f>IFERROR(VLOOKUP($C10,LicencesSep24!$C$2:$AF$27,28,FALSE),0)</f>
        <v>1</v>
      </c>
      <c r="AF10" s="38">
        <f>IFERROR(VLOOKUP($C10,LicencesSep24!$C$2:$AF$27,29,FALSE),0)</f>
        <v>2</v>
      </c>
      <c r="AG10" s="38">
        <f>IFERROR(VLOOKUP($C10,LicencesSep24!$C$2:$AF$27,30,FALSE),0)</f>
        <v>0</v>
      </c>
      <c r="AH10" s="38">
        <f>IFERROR(VLOOKUP($C10,#REF!,32,FALSE),0)</f>
        <v>0</v>
      </c>
      <c r="AI10" s="38"/>
      <c r="AJ10" s="39">
        <f t="shared" si="0"/>
        <v>70</v>
      </c>
      <c r="AL10" s="55" t="s">
        <v>14</v>
      </c>
      <c r="AM10" s="56" t="s">
        <v>103</v>
      </c>
      <c r="AN10" s="53">
        <v>18</v>
      </c>
      <c r="AO10" s="53">
        <v>179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9</v>
      </c>
      <c r="AV10" s="53">
        <v>0</v>
      </c>
      <c r="AW10" s="53">
        <v>0</v>
      </c>
      <c r="AX10" s="53">
        <v>2</v>
      </c>
      <c r="AY10" s="53">
        <v>0</v>
      </c>
      <c r="AZ10" s="53">
        <v>0</v>
      </c>
      <c r="BA10" s="53">
        <v>1</v>
      </c>
      <c r="BB10" s="53">
        <v>0</v>
      </c>
      <c r="BC10" s="53">
        <v>0</v>
      </c>
      <c r="BD10" s="53">
        <v>38</v>
      </c>
      <c r="BE10" s="53">
        <v>0</v>
      </c>
      <c r="BF10" s="53">
        <v>1</v>
      </c>
      <c r="BG10" s="53">
        <v>0</v>
      </c>
      <c r="BH10" s="53">
        <v>0</v>
      </c>
      <c r="BI10" s="53">
        <v>0</v>
      </c>
      <c r="BJ10" s="53">
        <v>0</v>
      </c>
      <c r="BK10" s="53">
        <v>1</v>
      </c>
      <c r="BL10" s="53">
        <v>0</v>
      </c>
      <c r="BM10" s="53">
        <v>126</v>
      </c>
      <c r="BN10" s="53">
        <v>0</v>
      </c>
      <c r="BO10" s="53">
        <v>0</v>
      </c>
      <c r="BP10" s="53">
        <v>0</v>
      </c>
      <c r="BQ10" s="53">
        <v>0</v>
      </c>
      <c r="BR10" s="63">
        <v>1</v>
      </c>
    </row>
    <row r="11" spans="2:70" ht="16.5" thickTop="1" thickBot="1">
      <c r="B11" s="21" t="s">
        <v>3</v>
      </c>
      <c r="C11" s="2" t="s">
        <v>126</v>
      </c>
      <c r="D11" s="23" t="s">
        <v>96</v>
      </c>
      <c r="E11" s="38">
        <f>IFERROR(VLOOKUP($C11,LicencesSep24!$C$2:$AF$27,3,FALSE),0)</f>
        <v>5</v>
      </c>
      <c r="F11" s="38">
        <f>IFERROR(VLOOKUP($C11,LicencesSep24!$C$2:$AF$27,4,FALSE),0)</f>
        <v>5</v>
      </c>
      <c r="G11" s="38">
        <f>IFERROR(VLOOKUP($C11,LicencesSep24!$C$2:$AF$27,5,FALSE),0)</f>
        <v>0</v>
      </c>
      <c r="H11" s="38">
        <f>IFERROR(VLOOKUP($C11,LicencesSep24!$C$2:$AF$27,6,FALSE),0)</f>
        <v>0</v>
      </c>
      <c r="I11" s="38">
        <f>IFERROR(VLOOKUP($C11,LicencesSep24!$C$2:$AF$27,7,FALSE),0)</f>
        <v>0</v>
      </c>
      <c r="J11" s="38">
        <f>IFERROR(VLOOKUP($C11,LicencesSep24!$C$2:$AF$27,8,FALSE),0)</f>
        <v>44</v>
      </c>
      <c r="K11" s="38">
        <f>IFERROR(VLOOKUP($C11,LicencesSep24!$C$2:$AF$27,9,FALSE),0)</f>
        <v>0</v>
      </c>
      <c r="L11" s="38">
        <f>IFERROR(VLOOKUP($C11,LicencesSep24!$C$2:$AF$27,10,FALSE),0)</f>
        <v>1</v>
      </c>
      <c r="M11" s="38">
        <f>IFERROR(VLOOKUP($C11,LicencesSep24!$C$2:$AF$27,14,FALSE),0)</f>
        <v>0</v>
      </c>
      <c r="N11" s="38">
        <f>IFERROR(VLOOKUP($C11,LicencesSep24!$C$2:$AF$27,11,FALSE),0)</f>
        <v>16</v>
      </c>
      <c r="O11" s="38">
        <f>IFERROR(VLOOKUP($C11,LicencesSep24!$C$2:$AF$27,12,FALSE),0)</f>
        <v>0</v>
      </c>
      <c r="P11" s="38">
        <f>IFERROR(VLOOKUP($C11,LicencesSep24!$C$2:$AF$27,13,FALSE),0)</f>
        <v>7</v>
      </c>
      <c r="Q11" s="38">
        <f>IFERROR(VLOOKUP($C11,LicencesSep24!$C$2:$AF$27,15,FALSE),0)</f>
        <v>1</v>
      </c>
      <c r="R11" s="38">
        <f>IFERROR(VLOOKUP($C11,LicencesSep24!$C$2:$AF$27,16,FALSE),0)</f>
        <v>0</v>
      </c>
      <c r="S11" s="38">
        <f>IFERROR(VLOOKUP($C11,LicencesSep24!$C$2:$AF$27,17,FALSE),0)</f>
        <v>0</v>
      </c>
      <c r="T11" s="38"/>
      <c r="U11" s="38">
        <f>IFERROR(VLOOKUP($C11,LicencesSep24!$C$2:$AF$27,18,FALSE),0)</f>
        <v>26</v>
      </c>
      <c r="V11" s="38">
        <f>IFERROR(VLOOKUP($C11,LicencesSep24!$C$2:$AF$27,19,FALSE),0)</f>
        <v>0</v>
      </c>
      <c r="W11" s="38">
        <f>IFERROR(VLOOKUP($C11,LicencesSep24!$C$2:$AF$27,20,FALSE),0)</f>
        <v>0</v>
      </c>
      <c r="X11" s="38">
        <f>IFERROR(VLOOKUP($C11,LicencesSep24!$C$2:$AF$27,21,FALSE),0)</f>
        <v>0</v>
      </c>
      <c r="Y11" s="38">
        <f>IFERROR(VLOOKUP($C11,LicencesSep24!$C$2:$AF$27,22,FALSE),0)</f>
        <v>0</v>
      </c>
      <c r="Z11" s="38">
        <f>IFERROR(VLOOKUP($C11,LicencesSep24!$C$2:$AF$27,23,FALSE),0)</f>
        <v>4</v>
      </c>
      <c r="AA11" s="38">
        <f>IFERROR(VLOOKUP($C11,LicencesSep24!$C$2:$AF$27,24,FALSE),0)</f>
        <v>0</v>
      </c>
      <c r="AB11" s="38">
        <f>IFERROR(VLOOKUP($C11,LicencesSep24!$C$2:$AF$27,25,FALSE),0)</f>
        <v>2</v>
      </c>
      <c r="AC11" s="38">
        <f>IFERROR(VLOOKUP($C11,LicencesSep24!$C$2:$AF$27,26,FALSE),0)</f>
        <v>0</v>
      </c>
      <c r="AD11" s="38">
        <f>IFERROR(VLOOKUP($C11,LicencesSep24!$C$2:$AF$27,27,FALSE),0)</f>
        <v>0</v>
      </c>
      <c r="AE11" s="38">
        <f>IFERROR(VLOOKUP($C11,LicencesSep24!$C$2:$AF$27,28,FALSE),0)</f>
        <v>1</v>
      </c>
      <c r="AF11" s="38">
        <f>IFERROR(VLOOKUP($C11,LicencesSep24!$C$2:$AF$27,29,FALSE),0)</f>
        <v>1</v>
      </c>
      <c r="AG11" s="38">
        <f>IFERROR(VLOOKUP($C11,LicencesSep24!$C$2:$AF$27,30,FALSE),0)</f>
        <v>0</v>
      </c>
      <c r="AH11" s="38">
        <f>IFERROR(VLOOKUP($C11,#REF!,32,FALSE),0)</f>
        <v>0</v>
      </c>
      <c r="AI11" s="38"/>
      <c r="AJ11" s="39">
        <f t="shared" si="0"/>
        <v>113</v>
      </c>
      <c r="AL11" s="55" t="s">
        <v>154</v>
      </c>
      <c r="AM11" s="56" t="s">
        <v>112</v>
      </c>
      <c r="AN11" s="53">
        <v>15</v>
      </c>
      <c r="AO11" s="53">
        <v>314</v>
      </c>
      <c r="AP11" s="53">
        <v>3</v>
      </c>
      <c r="AQ11" s="53">
        <v>2</v>
      </c>
      <c r="AR11" s="53">
        <v>9</v>
      </c>
      <c r="AS11" s="53">
        <v>0</v>
      </c>
      <c r="AT11" s="53">
        <v>2</v>
      </c>
      <c r="AU11" s="53">
        <v>45</v>
      </c>
      <c r="AV11" s="53">
        <v>1</v>
      </c>
      <c r="AW11" s="53">
        <v>3</v>
      </c>
      <c r="AX11" s="53">
        <v>63</v>
      </c>
      <c r="AY11" s="53">
        <v>1</v>
      </c>
      <c r="AZ11" s="53">
        <v>15</v>
      </c>
      <c r="BA11" s="53">
        <v>17</v>
      </c>
      <c r="BB11" s="53">
        <v>0</v>
      </c>
      <c r="BC11" s="53">
        <v>0</v>
      </c>
      <c r="BD11" s="53">
        <v>1</v>
      </c>
      <c r="BE11" s="53">
        <v>0</v>
      </c>
      <c r="BF11" s="53">
        <v>85</v>
      </c>
      <c r="BG11" s="53">
        <v>1</v>
      </c>
      <c r="BH11" s="53">
        <v>0</v>
      </c>
      <c r="BI11" s="53">
        <v>0</v>
      </c>
      <c r="BJ11" s="53">
        <v>0</v>
      </c>
      <c r="BK11" s="53">
        <v>4</v>
      </c>
      <c r="BL11" s="53">
        <v>0</v>
      </c>
      <c r="BM11" s="53">
        <v>8</v>
      </c>
      <c r="BN11" s="53">
        <v>6</v>
      </c>
      <c r="BO11" s="53">
        <v>20</v>
      </c>
      <c r="BP11" s="53">
        <v>24</v>
      </c>
      <c r="BQ11" s="53">
        <v>1</v>
      </c>
      <c r="BR11" s="63">
        <v>3</v>
      </c>
    </row>
    <row r="12" spans="2:70" ht="16.5" thickTop="1" thickBot="1">
      <c r="B12" s="21" t="s">
        <v>3</v>
      </c>
      <c r="C12" s="2" t="s">
        <v>6</v>
      </c>
      <c r="D12" s="23" t="s">
        <v>97</v>
      </c>
      <c r="E12" s="38">
        <f>IFERROR(VLOOKUP($C12,LicencesSep24!$C$2:$AF$27,3,FALSE),0)</f>
        <v>11</v>
      </c>
      <c r="F12" s="38">
        <f>IFERROR(VLOOKUP($C12,LicencesSep24!$C$2:$AF$27,4,FALSE),0)</f>
        <v>10</v>
      </c>
      <c r="G12" s="38">
        <f>IFERROR(VLOOKUP($C12,LicencesSep24!$C$2:$AF$27,5,FALSE),0)</f>
        <v>1</v>
      </c>
      <c r="H12" s="38">
        <f>IFERROR(VLOOKUP($C12,LicencesSep24!$C$2:$AF$27,6,FALSE),0)</f>
        <v>0</v>
      </c>
      <c r="I12" s="38">
        <f>IFERROR(VLOOKUP($C12,LicencesSep24!$C$2:$AF$27,7,FALSE),0)</f>
        <v>5</v>
      </c>
      <c r="J12" s="38">
        <f>IFERROR(VLOOKUP($C12,LicencesSep24!$C$2:$AF$27,8,FALSE),0)</f>
        <v>27</v>
      </c>
      <c r="K12" s="38">
        <f>IFERROR(VLOOKUP($C12,LicencesSep24!$C$2:$AF$27,9,FALSE),0)</f>
        <v>4</v>
      </c>
      <c r="L12" s="38">
        <f>IFERROR(VLOOKUP($C12,LicencesSep24!$C$2:$AF$27,10,FALSE),0)</f>
        <v>4</v>
      </c>
      <c r="M12" s="38">
        <f>IFERROR(VLOOKUP($C12,LicencesSep24!$C$2:$AF$27,14,FALSE),0)</f>
        <v>1</v>
      </c>
      <c r="N12" s="38">
        <f>IFERROR(VLOOKUP($C12,LicencesSep24!$C$2:$AF$27,11,FALSE),0)</f>
        <v>39</v>
      </c>
      <c r="O12" s="38">
        <f>IFERROR(VLOOKUP($C12,LicencesSep24!$C$2:$AF$27,12,FALSE),0)</f>
        <v>0</v>
      </c>
      <c r="P12" s="38">
        <f>IFERROR(VLOOKUP($C12,LicencesSep24!$C$2:$AF$27,13,FALSE),0)</f>
        <v>17</v>
      </c>
      <c r="Q12" s="38">
        <f>IFERROR(VLOOKUP($C12,LicencesSep24!$C$2:$AF$27,15,FALSE),0)</f>
        <v>2</v>
      </c>
      <c r="R12" s="38">
        <f>IFERROR(VLOOKUP($C12,LicencesSep24!$C$2:$AF$27,16,FALSE),0)</f>
        <v>1</v>
      </c>
      <c r="S12" s="38">
        <f>IFERROR(VLOOKUP($C12,LicencesSep24!$C$2:$AF$27,17,FALSE),0)</f>
        <v>4</v>
      </c>
      <c r="T12" s="38"/>
      <c r="U12" s="38">
        <f>IFERROR(VLOOKUP($C12,LicencesSep24!$C$2:$AF$27,18,FALSE),0)</f>
        <v>28</v>
      </c>
      <c r="V12" s="38">
        <f>IFERROR(VLOOKUP($C12,LicencesSep24!$C$2:$AF$27,19,FALSE),0)</f>
        <v>1</v>
      </c>
      <c r="W12" s="38">
        <f>IFERROR(VLOOKUP($C12,LicencesSep24!$C$2:$AF$27,20,FALSE),0)</f>
        <v>0</v>
      </c>
      <c r="X12" s="38">
        <f>IFERROR(VLOOKUP($C12,LicencesSep24!$C$2:$AF$27,21,FALSE),0)</f>
        <v>3</v>
      </c>
      <c r="Y12" s="38">
        <f>IFERROR(VLOOKUP($C12,LicencesSep24!$C$2:$AF$27,22,FALSE),0)</f>
        <v>0</v>
      </c>
      <c r="Z12" s="38">
        <f>IFERROR(VLOOKUP($C12,LicencesSep24!$C$2:$AF$27,23,FALSE),0)</f>
        <v>8</v>
      </c>
      <c r="AA12" s="38">
        <f>IFERROR(VLOOKUP($C12,LicencesSep24!$C$2:$AF$27,24,FALSE),0)</f>
        <v>0</v>
      </c>
      <c r="AB12" s="38">
        <f>IFERROR(VLOOKUP($C12,LicencesSep24!$C$2:$AF$27,25,FALSE),0)</f>
        <v>8</v>
      </c>
      <c r="AC12" s="38">
        <f>IFERROR(VLOOKUP($C12,LicencesSep24!$C$2:$AF$27,26,FALSE),0)</f>
        <v>3</v>
      </c>
      <c r="AD12" s="38">
        <f>IFERROR(VLOOKUP($C12,LicencesSep24!$C$2:$AF$27,27,FALSE),0)</f>
        <v>3</v>
      </c>
      <c r="AE12" s="38">
        <f>IFERROR(VLOOKUP($C12,LicencesSep24!$C$2:$AF$27,28,FALSE),0)</f>
        <v>0</v>
      </c>
      <c r="AF12" s="38">
        <f>IFERROR(VLOOKUP($C12,LicencesSep24!$C$2:$AF$27,29,FALSE),0)</f>
        <v>1</v>
      </c>
      <c r="AG12" s="38">
        <f>IFERROR(VLOOKUP($C12,LicencesSep24!$C$2:$AF$27,30,FALSE),0)</f>
        <v>1</v>
      </c>
      <c r="AH12" s="38">
        <f>IFERROR(VLOOKUP($C12,#REF!,32,FALSE),0)</f>
        <v>0</v>
      </c>
      <c r="AI12" s="38"/>
      <c r="AJ12" s="39">
        <f t="shared" si="0"/>
        <v>182</v>
      </c>
      <c r="AL12" s="55" t="s">
        <v>23</v>
      </c>
      <c r="AM12" s="56" t="s">
        <v>110</v>
      </c>
      <c r="AN12" s="53">
        <v>37</v>
      </c>
      <c r="AO12" s="53">
        <v>122</v>
      </c>
      <c r="AP12" s="53">
        <v>12</v>
      </c>
      <c r="AQ12" s="53">
        <v>0</v>
      </c>
      <c r="AR12" s="53">
        <v>0</v>
      </c>
      <c r="AS12" s="53">
        <v>1</v>
      </c>
      <c r="AT12" s="53">
        <v>6</v>
      </c>
      <c r="AU12" s="53">
        <v>13</v>
      </c>
      <c r="AV12" s="53">
        <v>19</v>
      </c>
      <c r="AW12" s="53">
        <v>4</v>
      </c>
      <c r="AX12" s="53">
        <v>0</v>
      </c>
      <c r="AY12" s="53">
        <v>3</v>
      </c>
      <c r="AZ12" s="53">
        <v>7</v>
      </c>
      <c r="BA12" s="53">
        <v>9</v>
      </c>
      <c r="BB12" s="53">
        <v>0</v>
      </c>
      <c r="BC12" s="53">
        <v>0</v>
      </c>
      <c r="BD12" s="53">
        <v>4</v>
      </c>
      <c r="BE12" s="53">
        <v>0</v>
      </c>
      <c r="BF12" s="53">
        <v>5</v>
      </c>
      <c r="BG12" s="53">
        <v>0</v>
      </c>
      <c r="BH12" s="53">
        <v>0</v>
      </c>
      <c r="BI12" s="53">
        <v>4</v>
      </c>
      <c r="BJ12" s="53">
        <v>0</v>
      </c>
      <c r="BK12" s="53">
        <v>3</v>
      </c>
      <c r="BL12" s="53">
        <v>6</v>
      </c>
      <c r="BM12" s="53">
        <v>7</v>
      </c>
      <c r="BN12" s="53">
        <v>7</v>
      </c>
      <c r="BO12" s="53">
        <v>3</v>
      </c>
      <c r="BP12" s="53">
        <v>8</v>
      </c>
      <c r="BQ12" s="53">
        <v>0</v>
      </c>
      <c r="BR12" s="63">
        <v>1</v>
      </c>
    </row>
    <row r="13" spans="2:70" ht="16.5" thickTop="1" thickBot="1">
      <c r="B13" s="21" t="s">
        <v>3</v>
      </c>
      <c r="C13" s="2" t="s">
        <v>7</v>
      </c>
      <c r="D13" s="23" t="s">
        <v>141</v>
      </c>
      <c r="E13" s="38">
        <f>IFERROR(VLOOKUP($C13,LicencesSep24!$C$2:$AF$27,3,FALSE),0)</f>
        <v>3</v>
      </c>
      <c r="F13" s="38">
        <f>IFERROR(VLOOKUP($C13,LicencesSep24!$C$2:$AF$27,4,FALSE),0)</f>
        <v>7</v>
      </c>
      <c r="G13" s="38">
        <f>IFERROR(VLOOKUP($C13,LicencesSep24!$C$2:$AF$27,5,FALSE),0)</f>
        <v>1</v>
      </c>
      <c r="H13" s="38">
        <f>IFERROR(VLOOKUP($C13,LicencesSep24!$C$2:$AF$27,6,FALSE),0)</f>
        <v>0</v>
      </c>
      <c r="I13" s="38">
        <f>IFERROR(VLOOKUP($C13,LicencesSep24!$C$2:$AF$27,7,FALSE),0)</f>
        <v>2</v>
      </c>
      <c r="J13" s="38">
        <f>IFERROR(VLOOKUP($C13,LicencesSep24!$C$2:$AF$27,8,FALSE),0)</f>
        <v>29</v>
      </c>
      <c r="K13" s="38">
        <f>IFERROR(VLOOKUP($C13,LicencesSep24!$C$2:$AF$27,9,FALSE),0)</f>
        <v>7</v>
      </c>
      <c r="L13" s="38">
        <f>IFERROR(VLOOKUP($C13,LicencesSep24!$C$2:$AF$27,10,FALSE),0)</f>
        <v>3</v>
      </c>
      <c r="M13" s="38">
        <f>IFERROR(VLOOKUP($C13,LicencesSep24!$C$2:$AF$27,14,FALSE),0)</f>
        <v>0</v>
      </c>
      <c r="N13" s="38">
        <f>IFERROR(VLOOKUP($C13,LicencesSep24!$C$2:$AF$27,11,FALSE),0)</f>
        <v>18</v>
      </c>
      <c r="O13" s="38">
        <f>IFERROR(VLOOKUP($C13,LicencesSep24!$C$2:$AF$27,12,FALSE),0)</f>
        <v>0</v>
      </c>
      <c r="P13" s="38">
        <f>IFERROR(VLOOKUP($C13,LicencesSep24!$C$2:$AF$27,13,FALSE),0)</f>
        <v>5</v>
      </c>
      <c r="Q13" s="38">
        <f>IFERROR(VLOOKUP($C13,LicencesSep24!$C$2:$AF$27,15,FALSE),0)</f>
        <v>1</v>
      </c>
      <c r="R13" s="38">
        <f>IFERROR(VLOOKUP($C13,LicencesSep24!$C$2:$AF$27,16,FALSE),0)</f>
        <v>0</v>
      </c>
      <c r="S13" s="38">
        <f>IFERROR(VLOOKUP($C13,LicencesSep24!$C$2:$AF$27,17,FALSE),0)</f>
        <v>1</v>
      </c>
      <c r="T13" s="38"/>
      <c r="U13" s="38">
        <f>IFERROR(VLOOKUP($C13,LicencesSep24!$C$2:$AF$27,18,FALSE),0)</f>
        <v>13</v>
      </c>
      <c r="V13" s="38">
        <f>IFERROR(VLOOKUP($C13,LicencesSep24!$C$2:$AF$27,19,FALSE),0)</f>
        <v>1</v>
      </c>
      <c r="W13" s="38">
        <f>IFERROR(VLOOKUP($C13,LicencesSep24!$C$2:$AF$27,20,FALSE),0)</f>
        <v>0</v>
      </c>
      <c r="X13" s="38">
        <f>IFERROR(VLOOKUP($C13,LicencesSep24!$C$2:$AF$27,21,FALSE),0)</f>
        <v>1</v>
      </c>
      <c r="Y13" s="38">
        <f>IFERROR(VLOOKUP($C13,LicencesSep24!$C$2:$AF$27,22,FALSE),0)</f>
        <v>0</v>
      </c>
      <c r="Z13" s="38">
        <f>IFERROR(VLOOKUP($C13,LicencesSep24!$C$2:$AF$27,23,FALSE),0)</f>
        <v>7</v>
      </c>
      <c r="AA13" s="38">
        <f>IFERROR(VLOOKUP($C13,LicencesSep24!$C$2:$AF$27,24,FALSE),0)</f>
        <v>0</v>
      </c>
      <c r="AB13" s="38">
        <f>IFERROR(VLOOKUP($C13,LicencesSep24!$C$2:$AF$27,25,FALSE),0)</f>
        <v>7</v>
      </c>
      <c r="AC13" s="38">
        <f>IFERROR(VLOOKUP($C13,LicencesSep24!$C$2:$AF$27,26,FALSE),0)</f>
        <v>1</v>
      </c>
      <c r="AD13" s="38">
        <f>IFERROR(VLOOKUP($C13,LicencesSep24!$C$2:$AF$27,27,FALSE),0)</f>
        <v>1</v>
      </c>
      <c r="AE13" s="38">
        <f>IFERROR(VLOOKUP($C13,LicencesSep24!$C$2:$AF$27,28,FALSE),0)</f>
        <v>0</v>
      </c>
      <c r="AF13" s="38">
        <f>IFERROR(VLOOKUP($C13,LicencesSep24!$C$2:$AF$27,29,FALSE),0)</f>
        <v>1</v>
      </c>
      <c r="AG13" s="38">
        <f>IFERROR(VLOOKUP($C13,LicencesSep24!$C$2:$AF$27,30,FALSE),0)</f>
        <v>0</v>
      </c>
      <c r="AH13" s="38">
        <f>IFERROR(VLOOKUP($C13,#REF!,32,FALSE),0)</f>
        <v>0</v>
      </c>
      <c r="AI13" s="38"/>
      <c r="AJ13" s="39">
        <f t="shared" si="0"/>
        <v>109</v>
      </c>
      <c r="AL13" s="55" t="s">
        <v>143</v>
      </c>
      <c r="AM13" s="56" t="s">
        <v>106</v>
      </c>
      <c r="AN13" s="53">
        <v>2</v>
      </c>
      <c r="AO13" s="53">
        <v>7</v>
      </c>
      <c r="AP13" s="53">
        <v>4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1</v>
      </c>
      <c r="AW13" s="53">
        <v>0</v>
      </c>
      <c r="AX13" s="53">
        <v>0</v>
      </c>
      <c r="AY13" s="53">
        <v>0</v>
      </c>
      <c r="AZ13" s="53">
        <v>1</v>
      </c>
      <c r="BA13" s="53">
        <v>0</v>
      </c>
      <c r="BB13" s="53">
        <v>0</v>
      </c>
      <c r="BC13" s="53">
        <v>0</v>
      </c>
      <c r="BD13" s="53">
        <v>0</v>
      </c>
      <c r="BE13" s="53">
        <v>0</v>
      </c>
      <c r="BF13" s="53">
        <v>0</v>
      </c>
      <c r="BG13" s="53">
        <v>1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53">
        <v>0</v>
      </c>
      <c r="BP13" s="53">
        <v>0</v>
      </c>
      <c r="BQ13" s="53">
        <v>0</v>
      </c>
      <c r="BR13" s="63">
        <v>0</v>
      </c>
    </row>
    <row r="14" spans="2:70" ht="16.5" thickTop="1" thickBot="1">
      <c r="B14" s="21" t="s">
        <v>3</v>
      </c>
      <c r="C14" s="2" t="s">
        <v>8</v>
      </c>
      <c r="D14" s="23" t="s">
        <v>99</v>
      </c>
      <c r="E14" s="38">
        <f>IFERROR(VLOOKUP($C14,LicencesSep24!$C$2:$AF$27,3,FALSE),0)</f>
        <v>2</v>
      </c>
      <c r="F14" s="38">
        <f>IFERROR(VLOOKUP($C14,LicencesSep24!$C$2:$AF$27,4,FALSE),0)</f>
        <v>2</v>
      </c>
      <c r="G14" s="38">
        <f>IFERROR(VLOOKUP($C14,LicencesSep24!$C$2:$AF$27,5,FALSE),0)</f>
        <v>0</v>
      </c>
      <c r="H14" s="38">
        <f>IFERROR(VLOOKUP($C14,LicencesSep24!$C$2:$AF$27,6,FALSE),0)</f>
        <v>0</v>
      </c>
      <c r="I14" s="38">
        <f>IFERROR(VLOOKUP($C14,LicencesSep24!$C$2:$AF$27,7,FALSE),0)</f>
        <v>0</v>
      </c>
      <c r="J14" s="38">
        <f>IFERROR(VLOOKUP($C14,LicencesSep24!$C$2:$AF$27,8,FALSE),0)</f>
        <v>16</v>
      </c>
      <c r="K14" s="38">
        <f>IFERROR(VLOOKUP($C14,LicencesSep24!$C$2:$AF$27,9,FALSE),0)</f>
        <v>0</v>
      </c>
      <c r="L14" s="38">
        <f>IFERROR(VLOOKUP($C14,LicencesSep24!$C$2:$AF$27,10,FALSE),0)</f>
        <v>0</v>
      </c>
      <c r="M14" s="38">
        <f>IFERROR(VLOOKUP($C14,LicencesSep24!$C$2:$AF$27,14,FALSE),0)</f>
        <v>0</v>
      </c>
      <c r="N14" s="38">
        <f>IFERROR(VLOOKUP($C14,LicencesSep24!$C$2:$AF$27,11,FALSE),0)</f>
        <v>7</v>
      </c>
      <c r="O14" s="38">
        <f>IFERROR(VLOOKUP($C14,LicencesSep24!$C$2:$AF$27,12,FALSE),0)</f>
        <v>0</v>
      </c>
      <c r="P14" s="38">
        <f>IFERROR(VLOOKUP($C14,LicencesSep24!$C$2:$AF$27,13,FALSE),0)</f>
        <v>2</v>
      </c>
      <c r="Q14" s="38">
        <f>IFERROR(VLOOKUP($C14,LicencesSep24!$C$2:$AF$27,15,FALSE),0)</f>
        <v>0</v>
      </c>
      <c r="R14" s="38">
        <f>IFERROR(VLOOKUP($C14,LicencesSep24!$C$2:$AF$27,16,FALSE),0)</f>
        <v>0</v>
      </c>
      <c r="S14" s="38">
        <f>IFERROR(VLOOKUP($C14,LicencesSep24!$C$2:$AF$27,17,FALSE),0)</f>
        <v>0</v>
      </c>
      <c r="T14" s="38"/>
      <c r="U14" s="38">
        <f>IFERROR(VLOOKUP($C14,LicencesSep24!$C$2:$AF$27,18,FALSE),0)</f>
        <v>14</v>
      </c>
      <c r="V14" s="38">
        <f>IFERROR(VLOOKUP($C14,LicencesSep24!$C$2:$AF$27,19,FALSE),0)</f>
        <v>0</v>
      </c>
      <c r="W14" s="38">
        <f>IFERROR(VLOOKUP($C14,LicencesSep24!$C$2:$AF$27,20,FALSE),0)</f>
        <v>0</v>
      </c>
      <c r="X14" s="38">
        <f>IFERROR(VLOOKUP($C14,LicencesSep24!$C$2:$AF$27,21,FALSE),0)</f>
        <v>0</v>
      </c>
      <c r="Y14" s="38">
        <f>IFERROR(VLOOKUP($C14,LicencesSep24!$C$2:$AF$27,22,FALSE),0)</f>
        <v>0</v>
      </c>
      <c r="Z14" s="38">
        <f>IFERROR(VLOOKUP($C14,LicencesSep24!$C$2:$AF$27,23,FALSE),0)</f>
        <v>2</v>
      </c>
      <c r="AA14" s="38">
        <f>IFERROR(VLOOKUP($C14,LicencesSep24!$C$2:$AF$27,24,FALSE),0)</f>
        <v>0</v>
      </c>
      <c r="AB14" s="38">
        <f>IFERROR(VLOOKUP($C14,LicencesSep24!$C$2:$AF$27,25,FALSE),0)</f>
        <v>0</v>
      </c>
      <c r="AC14" s="38">
        <f>IFERROR(VLOOKUP($C14,LicencesSep24!$C$2:$AF$27,26,FALSE),0)</f>
        <v>0</v>
      </c>
      <c r="AD14" s="38">
        <f>IFERROR(VLOOKUP($C14,LicencesSep24!$C$2:$AF$27,27,FALSE),0)</f>
        <v>0</v>
      </c>
      <c r="AE14" s="38">
        <f>IFERROR(VLOOKUP($C14,LicencesSep24!$C$2:$AF$27,28,FALSE),0)</f>
        <v>0</v>
      </c>
      <c r="AF14" s="38">
        <f>IFERROR(VLOOKUP($C14,LicencesSep24!$C$2:$AF$27,29,FALSE),0)</f>
        <v>1</v>
      </c>
      <c r="AG14" s="38">
        <f>IFERROR(VLOOKUP($C14,LicencesSep24!$C$2:$AF$27,30,FALSE),0)</f>
        <v>0</v>
      </c>
      <c r="AH14" s="38">
        <f>IFERROR(VLOOKUP($C14,#REF!,32,FALSE),0)</f>
        <v>0</v>
      </c>
      <c r="AI14" s="38"/>
      <c r="AJ14" s="39">
        <f t="shared" si="0"/>
        <v>46</v>
      </c>
      <c r="AL14" s="55" t="s">
        <v>15</v>
      </c>
      <c r="AM14" s="56" t="s">
        <v>104</v>
      </c>
      <c r="AN14" s="53">
        <v>8</v>
      </c>
      <c r="AO14" s="53">
        <v>54</v>
      </c>
      <c r="AP14" s="53">
        <v>0</v>
      </c>
      <c r="AQ14" s="53">
        <v>0</v>
      </c>
      <c r="AR14" s="53">
        <v>0</v>
      </c>
      <c r="AS14" s="53">
        <v>0</v>
      </c>
      <c r="AT14" s="53">
        <v>3</v>
      </c>
      <c r="AU14" s="53">
        <v>0</v>
      </c>
      <c r="AV14" s="53">
        <v>0</v>
      </c>
      <c r="AW14" s="53">
        <v>0</v>
      </c>
      <c r="AX14" s="53">
        <v>16</v>
      </c>
      <c r="AY14" s="53">
        <v>0</v>
      </c>
      <c r="AZ14" s="53">
        <v>0</v>
      </c>
      <c r="BA14" s="53">
        <v>5</v>
      </c>
      <c r="BB14" s="53">
        <v>1</v>
      </c>
      <c r="BC14" s="53">
        <v>0</v>
      </c>
      <c r="BD14" s="53">
        <v>0</v>
      </c>
      <c r="BE14" s="53">
        <v>3</v>
      </c>
      <c r="BF14" s="53">
        <v>26</v>
      </c>
      <c r="BG14" s="53">
        <v>0</v>
      </c>
      <c r="BH14" s="53">
        <v>0</v>
      </c>
      <c r="BI14" s="53">
        <v>0</v>
      </c>
      <c r="BJ14" s="53">
        <v>0</v>
      </c>
      <c r="BK14" s="53">
        <v>0</v>
      </c>
      <c r="BL14" s="53">
        <v>0</v>
      </c>
      <c r="BM14" s="53">
        <v>0</v>
      </c>
      <c r="BN14" s="53">
        <v>0</v>
      </c>
      <c r="BO14" s="53">
        <v>0</v>
      </c>
      <c r="BP14" s="53">
        <v>0</v>
      </c>
      <c r="BQ14" s="53">
        <v>0</v>
      </c>
      <c r="BR14" s="63">
        <v>0</v>
      </c>
    </row>
    <row r="15" spans="2:70" ht="16.5" thickTop="1" thickBot="1">
      <c r="B15" s="21" t="s">
        <v>3</v>
      </c>
      <c r="C15" s="2" t="s">
        <v>123</v>
      </c>
      <c r="D15" s="27" t="s">
        <v>116</v>
      </c>
      <c r="E15" s="38">
        <f>IFERROR(VLOOKUP($C15,LicencesSep24!$C$2:$AF$27,3,FALSE),0)</f>
        <v>2</v>
      </c>
      <c r="F15" s="38">
        <f>IFERROR(VLOOKUP($C15,LicencesSep24!$C$2:$AF$27,4,FALSE),0)</f>
        <v>0</v>
      </c>
      <c r="G15" s="38">
        <f>IFERROR(VLOOKUP($C15,LicencesSep24!$C$2:$AF$27,5,FALSE),0)</f>
        <v>0</v>
      </c>
      <c r="H15" s="38">
        <f>IFERROR(VLOOKUP($C15,LicencesSep24!$C$2:$AF$27,6,FALSE),0)</f>
        <v>0</v>
      </c>
      <c r="I15" s="38">
        <f>IFERROR(VLOOKUP($C15,LicencesSep24!$C$2:$AF$27,7,FALSE),0)</f>
        <v>0</v>
      </c>
      <c r="J15" s="38">
        <f>IFERROR(VLOOKUP($C15,LicencesSep24!$C$2:$AF$27,8,FALSE),0)</f>
        <v>0</v>
      </c>
      <c r="K15" s="38">
        <f>IFERROR(VLOOKUP($C15,LicencesSep24!$C$2:$AF$27,9,FALSE),0)</f>
        <v>0</v>
      </c>
      <c r="L15" s="38">
        <f>IFERROR(VLOOKUP($C15,LicencesSep24!$C$2:$AF$27,10,FALSE),0)</f>
        <v>0</v>
      </c>
      <c r="M15" s="38">
        <f>IFERROR(VLOOKUP($C15,LicencesSep24!$C$2:$AF$27,14,FALSE),0)</f>
        <v>0</v>
      </c>
      <c r="N15" s="38">
        <f>IFERROR(VLOOKUP($C15,LicencesSep24!$C$2:$AF$27,11,FALSE),0)</f>
        <v>8</v>
      </c>
      <c r="O15" s="38">
        <f>IFERROR(VLOOKUP($C15,LicencesSep24!$C$2:$AF$27,12,FALSE),0)</f>
        <v>0</v>
      </c>
      <c r="P15" s="38">
        <f>IFERROR(VLOOKUP($C15,LicencesSep24!$C$2:$AF$27,13,FALSE),0)</f>
        <v>9</v>
      </c>
      <c r="Q15" s="38">
        <f>IFERROR(VLOOKUP($C15,LicencesSep24!$C$2:$AF$27,15,FALSE),0)</f>
        <v>1</v>
      </c>
      <c r="R15" s="38">
        <f>IFERROR(VLOOKUP($C15,LicencesSep24!$C$2:$AF$27,16,FALSE),0)</f>
        <v>0</v>
      </c>
      <c r="S15" s="38">
        <f>IFERROR(VLOOKUP($C15,LicencesSep24!$C$2:$AF$27,17,FALSE),0)</f>
        <v>1</v>
      </c>
      <c r="T15" s="38"/>
      <c r="U15" s="38">
        <f>IFERROR(VLOOKUP($C15,LicencesSep24!$C$2:$AF$27,18,FALSE),0)</f>
        <v>178</v>
      </c>
      <c r="V15" s="38">
        <f>IFERROR(VLOOKUP($C15,LicencesSep24!$C$2:$AF$27,19,FALSE),0)</f>
        <v>0</v>
      </c>
      <c r="W15" s="38">
        <f>IFERROR(VLOOKUP($C15,LicencesSep24!$C$2:$AF$27,20,FALSE),0)</f>
        <v>0</v>
      </c>
      <c r="X15" s="38">
        <f>IFERROR(VLOOKUP($C15,LicencesSep24!$C$2:$AF$27,21,FALSE),0)</f>
        <v>0</v>
      </c>
      <c r="Y15" s="38">
        <f>IFERROR(VLOOKUP($C15,LicencesSep24!$C$2:$AF$27,22,FALSE),0)</f>
        <v>0</v>
      </c>
      <c r="Z15" s="38">
        <f>IFERROR(VLOOKUP($C15,LicencesSep24!$C$2:$AF$27,23,FALSE),0)</f>
        <v>0</v>
      </c>
      <c r="AA15" s="38">
        <f>IFERROR(VLOOKUP($C15,LicencesSep24!$C$2:$AF$27,24,FALSE),0)</f>
        <v>0</v>
      </c>
      <c r="AB15" s="38">
        <f>IFERROR(VLOOKUP($C15,LicencesSep24!$C$2:$AF$27,25,FALSE),0)</f>
        <v>4</v>
      </c>
      <c r="AC15" s="38">
        <f>IFERROR(VLOOKUP($C15,LicencesSep24!$C$2:$AF$27,26,FALSE),0)</f>
        <v>0</v>
      </c>
      <c r="AD15" s="38">
        <f>IFERROR(VLOOKUP($C15,LicencesSep24!$C$2:$AF$27,27,FALSE),0)</f>
        <v>3</v>
      </c>
      <c r="AE15" s="38">
        <f>IFERROR(VLOOKUP($C15,LicencesSep24!$C$2:$AF$27,28,FALSE),0)</f>
        <v>0</v>
      </c>
      <c r="AF15" s="38">
        <f>IFERROR(VLOOKUP($C15,LicencesSep24!$C$2:$AF$27,29,FALSE),0)</f>
        <v>0</v>
      </c>
      <c r="AG15" s="38">
        <f>IFERROR(VLOOKUP($C15,LicencesSep24!$C$2:$AF$27,30,FALSE),0)</f>
        <v>0</v>
      </c>
      <c r="AH15" s="38">
        <f>IFERROR(VLOOKUP($C15,#REF!,32,FALSE),0)</f>
        <v>0</v>
      </c>
      <c r="AI15" s="38"/>
      <c r="AJ15" s="39">
        <f t="shared" si="0"/>
        <v>206</v>
      </c>
      <c r="AL15" s="55" t="s">
        <v>153</v>
      </c>
      <c r="AM15" s="56" t="s">
        <v>152</v>
      </c>
      <c r="AN15" s="53">
        <v>38</v>
      </c>
      <c r="AO15" s="53">
        <v>13</v>
      </c>
      <c r="AP15" s="53">
        <v>3</v>
      </c>
      <c r="AQ15" s="53">
        <v>0</v>
      </c>
      <c r="AR15" s="53">
        <v>0</v>
      </c>
      <c r="AS15" s="53">
        <v>0</v>
      </c>
      <c r="AT15" s="53">
        <v>0</v>
      </c>
      <c r="AU15" s="53">
        <v>1</v>
      </c>
      <c r="AV15" s="53">
        <v>1</v>
      </c>
      <c r="AW15" s="53">
        <v>0</v>
      </c>
      <c r="AX15" s="53">
        <v>2</v>
      </c>
      <c r="AY15" s="53">
        <v>3</v>
      </c>
      <c r="AZ15" s="53">
        <v>3</v>
      </c>
      <c r="BA15" s="53">
        <v>0</v>
      </c>
      <c r="BB15" s="53">
        <v>0</v>
      </c>
      <c r="BC15" s="53">
        <v>0</v>
      </c>
      <c r="BD15" s="53">
        <v>0</v>
      </c>
      <c r="BE15" s="53">
        <v>0</v>
      </c>
      <c r="BF15" s="53">
        <v>0</v>
      </c>
      <c r="BG15" s="53">
        <v>0</v>
      </c>
      <c r="BH15" s="53">
        <v>0</v>
      </c>
      <c r="BI15" s="53">
        <v>0</v>
      </c>
      <c r="BJ15" s="53">
        <v>0</v>
      </c>
      <c r="BK15" s="53">
        <v>0</v>
      </c>
      <c r="BL15" s="53">
        <v>0</v>
      </c>
      <c r="BM15" s="53">
        <v>0</v>
      </c>
      <c r="BN15" s="53">
        <v>0</v>
      </c>
      <c r="BO15" s="53">
        <v>0</v>
      </c>
      <c r="BP15" s="53">
        <v>0</v>
      </c>
      <c r="BQ15" s="53">
        <v>0</v>
      </c>
      <c r="BR15" s="63">
        <v>0</v>
      </c>
    </row>
    <row r="16" spans="2:70" ht="16.5" thickTop="1" thickBot="1">
      <c r="B16" s="21" t="s">
        <v>9</v>
      </c>
      <c r="C16" s="2" t="s">
        <v>10</v>
      </c>
      <c r="D16" s="23" t="s">
        <v>100</v>
      </c>
      <c r="E16" s="38">
        <f>IFERROR(VLOOKUP($C16,LicencesSep24!$C$2:$AF$27,3,FALSE),0)</f>
        <v>7</v>
      </c>
      <c r="F16" s="38">
        <f>IFERROR(VLOOKUP($C16,LicencesSep24!$C$2:$AF$27,4,FALSE),0)</f>
        <v>1</v>
      </c>
      <c r="G16" s="38">
        <f>IFERROR(VLOOKUP($C16,LicencesSep24!$C$2:$AF$27,5,FALSE),0)</f>
        <v>2</v>
      </c>
      <c r="H16" s="38">
        <f>IFERROR(VLOOKUP($C16,LicencesSep24!$C$2:$AF$27,6,FALSE),0)</f>
        <v>0</v>
      </c>
      <c r="I16" s="38">
        <f>IFERROR(VLOOKUP($C16,LicencesSep24!$C$2:$AF$27,7,FALSE),0)</f>
        <v>3</v>
      </c>
      <c r="J16" s="38">
        <f>IFERROR(VLOOKUP($C16,LicencesSep24!$C$2:$AF$27,8,FALSE),0)</f>
        <v>8</v>
      </c>
      <c r="K16" s="38">
        <f>IFERROR(VLOOKUP($C16,LicencesSep24!$C$2:$AF$27,9,FALSE),0)</f>
        <v>30</v>
      </c>
      <c r="L16" s="38">
        <f>IFERROR(VLOOKUP($C16,LicencesSep24!$C$2:$AF$27,10,FALSE),0)</f>
        <v>0</v>
      </c>
      <c r="M16" s="38">
        <f>IFERROR(VLOOKUP($C16,LicencesSep24!$C$2:$AF$27,14,FALSE),0)</f>
        <v>2</v>
      </c>
      <c r="N16" s="38">
        <f>IFERROR(VLOOKUP($C16,LicencesSep24!$C$2:$AF$27,11,FALSE),0)</f>
        <v>2</v>
      </c>
      <c r="O16" s="38">
        <f>IFERROR(VLOOKUP($C16,LicencesSep24!$C$2:$AF$27,12,FALSE),0)</f>
        <v>0</v>
      </c>
      <c r="P16" s="38">
        <f>IFERROR(VLOOKUP($C16,LicencesSep24!$C$2:$AF$27,13,FALSE),0)</f>
        <v>0</v>
      </c>
      <c r="Q16" s="38">
        <f>IFERROR(VLOOKUP($C16,LicencesSep24!$C$2:$AF$27,15,FALSE),0)</f>
        <v>0</v>
      </c>
      <c r="R16" s="38">
        <f>IFERROR(VLOOKUP($C16,LicencesSep24!$C$2:$AF$27,16,FALSE),0)</f>
        <v>0</v>
      </c>
      <c r="S16" s="38">
        <f>IFERROR(VLOOKUP($C16,LicencesSep24!$C$2:$AF$27,17,FALSE),0)</f>
        <v>0</v>
      </c>
      <c r="T16" s="38"/>
      <c r="U16" s="38">
        <f>IFERROR(VLOOKUP($C16,LicencesSep24!$C$2:$AF$27,18,FALSE),0)</f>
        <v>17</v>
      </c>
      <c r="V16" s="38">
        <f>IFERROR(VLOOKUP($C16,LicencesSep24!$C$2:$AF$27,19,FALSE),0)</f>
        <v>0</v>
      </c>
      <c r="W16" s="38">
        <f>IFERROR(VLOOKUP($C16,LicencesSep24!$C$2:$AF$27,20,FALSE),0)</f>
        <v>0</v>
      </c>
      <c r="X16" s="38">
        <f>IFERROR(VLOOKUP($C16,LicencesSep24!$C$2:$AF$27,21,FALSE),0)</f>
        <v>0</v>
      </c>
      <c r="Y16" s="38">
        <f>IFERROR(VLOOKUP($C16,LicencesSep24!$C$2:$AF$27,22,FALSE),0)</f>
        <v>0</v>
      </c>
      <c r="Z16" s="38">
        <f>IFERROR(VLOOKUP($C16,LicencesSep24!$C$2:$AF$27,23,FALSE),0)</f>
        <v>5</v>
      </c>
      <c r="AA16" s="38">
        <f>IFERROR(VLOOKUP($C16,LicencesSep24!$C$2:$AF$27,24,FALSE),0)</f>
        <v>10</v>
      </c>
      <c r="AB16" s="38">
        <f>IFERROR(VLOOKUP($C16,LicencesSep24!$C$2:$AF$27,25,FALSE),0)</f>
        <v>2</v>
      </c>
      <c r="AC16" s="38">
        <f>IFERROR(VLOOKUP($C16,LicencesSep24!$C$2:$AF$27,26,FALSE),0)</f>
        <v>1</v>
      </c>
      <c r="AD16" s="38">
        <f>IFERROR(VLOOKUP($C16,LicencesSep24!$C$2:$AF$27,27,FALSE),0)</f>
        <v>1</v>
      </c>
      <c r="AE16" s="38">
        <f>IFERROR(VLOOKUP($C16,LicencesSep24!$C$2:$AF$27,28,FALSE),0)</f>
        <v>5</v>
      </c>
      <c r="AF16" s="38">
        <f>IFERROR(VLOOKUP($C16,LicencesSep24!$C$2:$AF$27,29,FALSE),0)</f>
        <v>0</v>
      </c>
      <c r="AG16" s="38">
        <f>IFERROR(VLOOKUP($C16,LicencesSep24!$C$2:$AF$27,30,FALSE),0)</f>
        <v>0</v>
      </c>
      <c r="AH16" s="38">
        <f>IFERROR(VLOOKUP($C16,#REF!,32,FALSE),0)</f>
        <v>0</v>
      </c>
      <c r="AI16" s="38"/>
      <c r="AJ16" s="39">
        <f t="shared" si="0"/>
        <v>96</v>
      </c>
      <c r="AL16" s="55" t="s">
        <v>10</v>
      </c>
      <c r="AM16" s="56" t="s">
        <v>100</v>
      </c>
      <c r="AN16" s="53">
        <v>14</v>
      </c>
      <c r="AO16" s="53">
        <v>284</v>
      </c>
      <c r="AP16" s="53">
        <v>13</v>
      </c>
      <c r="AQ16" s="53">
        <v>3</v>
      </c>
      <c r="AR16" s="53">
        <v>0</v>
      </c>
      <c r="AS16" s="53">
        <v>1</v>
      </c>
      <c r="AT16" s="53">
        <v>8</v>
      </c>
      <c r="AU16" s="53">
        <v>12</v>
      </c>
      <c r="AV16" s="53">
        <v>103</v>
      </c>
      <c r="AW16" s="53">
        <v>0</v>
      </c>
      <c r="AX16" s="53">
        <v>11</v>
      </c>
      <c r="AY16" s="53">
        <v>0</v>
      </c>
      <c r="AZ16" s="53">
        <v>5</v>
      </c>
      <c r="BA16" s="53">
        <v>34</v>
      </c>
      <c r="BB16" s="53">
        <v>5</v>
      </c>
      <c r="BC16" s="53">
        <v>0</v>
      </c>
      <c r="BD16" s="53">
        <v>0</v>
      </c>
      <c r="BE16" s="53">
        <v>0</v>
      </c>
      <c r="BF16" s="53">
        <v>28</v>
      </c>
      <c r="BG16" s="53">
        <v>1</v>
      </c>
      <c r="BH16" s="53">
        <v>0</v>
      </c>
      <c r="BI16" s="53">
        <v>1</v>
      </c>
      <c r="BJ16" s="53">
        <v>0</v>
      </c>
      <c r="BK16" s="53">
        <v>4</v>
      </c>
      <c r="BL16" s="53">
        <v>26</v>
      </c>
      <c r="BM16" s="53">
        <v>0</v>
      </c>
      <c r="BN16" s="53">
        <v>8</v>
      </c>
      <c r="BO16" s="53">
        <v>2</v>
      </c>
      <c r="BP16" s="53">
        <v>18</v>
      </c>
      <c r="BQ16" s="53">
        <v>1</v>
      </c>
      <c r="BR16" s="63">
        <v>0</v>
      </c>
    </row>
    <row r="17" spans="2:72" ht="16.5" thickTop="1" thickBot="1">
      <c r="B17" s="21" t="s">
        <v>9</v>
      </c>
      <c r="C17" s="2" t="s">
        <v>11</v>
      </c>
      <c r="D17" s="23" t="s">
        <v>101</v>
      </c>
      <c r="E17" s="38">
        <f>IFERROR(VLOOKUP($C17,LicencesSep24!$C$2:$AF$27,3,FALSE),0)</f>
        <v>0</v>
      </c>
      <c r="F17" s="38">
        <f>IFERROR(VLOOKUP($C17,LicencesSep24!$C$2:$AF$27,4,FALSE),0)</f>
        <v>0</v>
      </c>
      <c r="G17" s="38">
        <f>IFERROR(VLOOKUP($C17,LicencesSep24!$C$2:$AF$27,5,FALSE),0)</f>
        <v>0</v>
      </c>
      <c r="H17" s="38">
        <f>IFERROR(VLOOKUP($C17,LicencesSep24!$C$2:$AF$27,6,FALSE),0)</f>
        <v>0</v>
      </c>
      <c r="I17" s="38">
        <f>IFERROR(VLOOKUP($C17,LicencesSep24!$C$2:$AF$27,7,FALSE),0)</f>
        <v>0</v>
      </c>
      <c r="J17" s="38">
        <f>IFERROR(VLOOKUP($C17,LicencesSep24!$C$2:$AF$27,8,FALSE),0)</f>
        <v>0</v>
      </c>
      <c r="K17" s="38">
        <f>IFERROR(VLOOKUP($C17,LicencesSep24!$C$2:$AF$27,9,FALSE),0)</f>
        <v>0</v>
      </c>
      <c r="L17" s="38">
        <f>IFERROR(VLOOKUP($C17,LicencesSep24!$C$2:$AF$27,10,FALSE),0)</f>
        <v>0</v>
      </c>
      <c r="M17" s="38">
        <f>IFERROR(VLOOKUP($C17,LicencesSep24!$C$2:$AF$27,14,FALSE),0)</f>
        <v>0</v>
      </c>
      <c r="N17" s="38">
        <f>IFERROR(VLOOKUP($C17,LicencesSep24!$C$2:$AF$27,11,FALSE),0)</f>
        <v>0</v>
      </c>
      <c r="O17" s="38">
        <f>IFERROR(VLOOKUP($C17,LicencesSep24!$C$2:$AF$27,12,FALSE),0)</f>
        <v>1</v>
      </c>
      <c r="P17" s="38">
        <f>IFERROR(VLOOKUP($C17,LicencesSep24!$C$2:$AF$27,13,FALSE),0)</f>
        <v>0</v>
      </c>
      <c r="Q17" s="38">
        <f>IFERROR(VLOOKUP($C17,LicencesSep24!$C$2:$AF$27,15,FALSE),0)</f>
        <v>0</v>
      </c>
      <c r="R17" s="38">
        <f>IFERROR(VLOOKUP($C17,LicencesSep24!$C$2:$AF$27,16,FALSE),0)</f>
        <v>0</v>
      </c>
      <c r="S17" s="38">
        <f>IFERROR(VLOOKUP($C17,LicencesSep24!$C$2:$AF$27,17,FALSE),0)</f>
        <v>0</v>
      </c>
      <c r="T17" s="38"/>
      <c r="U17" s="38">
        <f>IFERROR(VLOOKUP($C17,LicencesSep24!$C$2:$AF$27,18,FALSE),0)</f>
        <v>0</v>
      </c>
      <c r="V17" s="38">
        <f>IFERROR(VLOOKUP($C17,LicencesSep24!$C$2:$AF$27,19,FALSE),0)</f>
        <v>0</v>
      </c>
      <c r="W17" s="38">
        <f>IFERROR(VLOOKUP($C17,LicencesSep24!$C$2:$AF$27,20,FALSE),0)</f>
        <v>0</v>
      </c>
      <c r="X17" s="38">
        <f>IFERROR(VLOOKUP($C17,LicencesSep24!$C$2:$AF$27,21,FALSE),0)</f>
        <v>0</v>
      </c>
      <c r="Y17" s="38">
        <f>IFERROR(VLOOKUP($C17,LicencesSep24!$C$2:$AF$27,22,FALSE),0)</f>
        <v>0</v>
      </c>
      <c r="Z17" s="38">
        <f>IFERROR(VLOOKUP($C17,LicencesSep24!$C$2:$AF$27,23,FALSE),0)</f>
        <v>0</v>
      </c>
      <c r="AA17" s="38">
        <f>IFERROR(VLOOKUP($C17,LicencesSep24!$C$2:$AF$27,24,FALSE),0)</f>
        <v>0</v>
      </c>
      <c r="AB17" s="38">
        <f>IFERROR(VLOOKUP($C17,LicencesSep24!$C$2:$AF$27,25,FALSE),0)</f>
        <v>0</v>
      </c>
      <c r="AC17" s="38">
        <f>IFERROR(VLOOKUP($C17,LicencesSep24!$C$2:$AF$27,26,FALSE),0)</f>
        <v>0</v>
      </c>
      <c r="AD17" s="38">
        <f>IFERROR(VLOOKUP($C17,LicencesSep24!$C$2:$AF$27,27,FALSE),0)</f>
        <v>0</v>
      </c>
      <c r="AE17" s="38">
        <f>IFERROR(VLOOKUP($C17,LicencesSep24!$C$2:$AF$27,28,FALSE),0)</f>
        <v>1</v>
      </c>
      <c r="AF17" s="38">
        <f>IFERROR(VLOOKUP($C17,LicencesSep24!$C$2:$AF$27,29,FALSE),0)</f>
        <v>0</v>
      </c>
      <c r="AG17" s="38">
        <f>IFERROR(VLOOKUP($C17,LicencesSep24!$C$2:$AF$27,30,FALSE),0)</f>
        <v>0</v>
      </c>
      <c r="AH17" s="38">
        <f>IFERROR(VLOOKUP($C17,#REF!,32,FALSE),0)</f>
        <v>0</v>
      </c>
      <c r="AI17" s="38"/>
      <c r="AJ17" s="39">
        <f t="shared" si="0"/>
        <v>2</v>
      </c>
      <c r="AL17" s="55" t="s">
        <v>7</v>
      </c>
      <c r="AM17" s="56" t="s">
        <v>141</v>
      </c>
      <c r="AN17" s="53">
        <v>10</v>
      </c>
      <c r="AO17" s="53">
        <v>124</v>
      </c>
      <c r="AP17" s="53">
        <v>5</v>
      </c>
      <c r="AQ17" s="53">
        <v>6</v>
      </c>
      <c r="AR17" s="53">
        <v>0</v>
      </c>
      <c r="AS17" s="53">
        <v>0</v>
      </c>
      <c r="AT17" s="53">
        <v>4</v>
      </c>
      <c r="AU17" s="53">
        <v>18</v>
      </c>
      <c r="AV17" s="53">
        <v>13</v>
      </c>
      <c r="AW17" s="53">
        <v>6</v>
      </c>
      <c r="AX17" s="53">
        <v>11</v>
      </c>
      <c r="AY17" s="53">
        <v>0</v>
      </c>
      <c r="AZ17" s="53">
        <v>13</v>
      </c>
      <c r="BA17" s="53">
        <v>1</v>
      </c>
      <c r="BB17" s="53">
        <v>0</v>
      </c>
      <c r="BC17" s="53">
        <v>0</v>
      </c>
      <c r="BD17" s="53">
        <v>2</v>
      </c>
      <c r="BE17" s="53">
        <v>3</v>
      </c>
      <c r="BF17" s="53">
        <v>18</v>
      </c>
      <c r="BG17" s="53">
        <v>7</v>
      </c>
      <c r="BH17" s="53">
        <v>0</v>
      </c>
      <c r="BI17" s="53">
        <v>0</v>
      </c>
      <c r="BJ17" s="53">
        <v>0</v>
      </c>
      <c r="BK17" s="53">
        <v>14</v>
      </c>
      <c r="BL17" s="53">
        <v>0</v>
      </c>
      <c r="BM17" s="53">
        <v>0</v>
      </c>
      <c r="BN17" s="53">
        <v>0</v>
      </c>
      <c r="BO17" s="53">
        <v>0</v>
      </c>
      <c r="BP17" s="53">
        <v>3</v>
      </c>
      <c r="BQ17" s="53">
        <v>0</v>
      </c>
      <c r="BR17" s="63">
        <v>0</v>
      </c>
    </row>
    <row r="18" spans="2:72" ht="16.5" thickTop="1" thickBot="1">
      <c r="B18" s="21" t="s">
        <v>12</v>
      </c>
      <c r="C18" s="2" t="s">
        <v>13</v>
      </c>
      <c r="D18" s="23" t="s">
        <v>102</v>
      </c>
      <c r="E18" s="38">
        <f>IFERROR(VLOOKUP($C18,LicencesSep24!$C$2:$AF$27,3,FALSE),0)</f>
        <v>0</v>
      </c>
      <c r="F18" s="38">
        <f>IFERROR(VLOOKUP($C18,LicencesSep24!$C$2:$AF$27,4,FALSE),0)</f>
        <v>3</v>
      </c>
      <c r="G18" s="38">
        <f>IFERROR(VLOOKUP($C18,LicencesSep24!$C$2:$AF$27,5,FALSE),0)</f>
        <v>0</v>
      </c>
      <c r="H18" s="38">
        <f>IFERROR(VLOOKUP($C18,LicencesSep24!$C$2:$AF$27,6,FALSE),0)</f>
        <v>2</v>
      </c>
      <c r="I18" s="38">
        <f>IFERROR(VLOOKUP($C18,LicencesSep24!$C$2:$AF$27,7,FALSE),0)</f>
        <v>0</v>
      </c>
      <c r="J18" s="38">
        <f>IFERROR(VLOOKUP($C18,LicencesSep24!$C$2:$AF$27,8,FALSE),0)</f>
        <v>35</v>
      </c>
      <c r="K18" s="38">
        <f>IFERROR(VLOOKUP($C18,LicencesSep24!$C$2:$AF$27,9,FALSE),0)</f>
        <v>5</v>
      </c>
      <c r="L18" s="38">
        <f>IFERROR(VLOOKUP($C18,LicencesSep24!$C$2:$AF$27,10,FALSE),0)</f>
        <v>1</v>
      </c>
      <c r="M18" s="38">
        <f>IFERROR(VLOOKUP($C18,LicencesSep24!$C$2:$AF$27,14,FALSE),0)</f>
        <v>17</v>
      </c>
      <c r="N18" s="38">
        <f>IFERROR(VLOOKUP($C18,LicencesSep24!$C$2:$AF$27,11,FALSE),0)</f>
        <v>30</v>
      </c>
      <c r="O18" s="38">
        <f>IFERROR(VLOOKUP($C18,LicencesSep24!$C$2:$AF$27,12,FALSE),0)</f>
        <v>1</v>
      </c>
      <c r="P18" s="38">
        <f>IFERROR(VLOOKUP($C18,LicencesSep24!$C$2:$AF$27,13,FALSE),0)</f>
        <v>39</v>
      </c>
      <c r="Q18" s="38">
        <f>IFERROR(VLOOKUP($C18,LicencesSep24!$C$2:$AF$27,15,FALSE),0)</f>
        <v>0</v>
      </c>
      <c r="R18" s="38">
        <f>IFERROR(VLOOKUP($C18,LicencesSep24!$C$2:$AF$27,16,FALSE),0)</f>
        <v>0</v>
      </c>
      <c r="S18" s="38">
        <f>IFERROR(VLOOKUP($C18,LicencesSep24!$C$2:$AF$27,17,FALSE),0)</f>
        <v>0</v>
      </c>
      <c r="T18" s="38"/>
      <c r="U18" s="38">
        <f>IFERROR(VLOOKUP($C18,LicencesSep24!$C$2:$AF$27,18,FALSE),0)</f>
        <v>8</v>
      </c>
      <c r="V18" s="38">
        <f>IFERROR(VLOOKUP($C18,LicencesSep24!$C$2:$AF$27,19,FALSE),0)</f>
        <v>3</v>
      </c>
      <c r="W18" s="38">
        <f>IFERROR(VLOOKUP($C18,LicencesSep24!$C$2:$AF$27,20,FALSE),0)</f>
        <v>2</v>
      </c>
      <c r="X18" s="38">
        <f>IFERROR(VLOOKUP($C18,LicencesSep24!$C$2:$AF$27,21,FALSE),0)</f>
        <v>0</v>
      </c>
      <c r="Y18" s="38">
        <f>IFERROR(VLOOKUP($C18,LicencesSep24!$C$2:$AF$27,22,FALSE),0)</f>
        <v>0</v>
      </c>
      <c r="Z18" s="38">
        <f>IFERROR(VLOOKUP($C18,LicencesSep24!$C$2:$AF$27,23,FALSE),0)</f>
        <v>7</v>
      </c>
      <c r="AA18" s="38">
        <f>IFERROR(VLOOKUP($C18,LicencesSep24!$C$2:$AF$27,24,FALSE),0)</f>
        <v>0</v>
      </c>
      <c r="AB18" s="38">
        <f>IFERROR(VLOOKUP($C18,LicencesSep24!$C$2:$AF$27,25,FALSE),0)</f>
        <v>4</v>
      </c>
      <c r="AC18" s="38">
        <f>IFERROR(VLOOKUP($C18,LicencesSep24!$C$2:$AF$27,26,FALSE),0)</f>
        <v>5</v>
      </c>
      <c r="AD18" s="38">
        <f>IFERROR(VLOOKUP($C18,LicencesSep24!$C$2:$AF$27,27,FALSE),0)</f>
        <v>16</v>
      </c>
      <c r="AE18" s="38">
        <f>IFERROR(VLOOKUP($C18,LicencesSep24!$C$2:$AF$27,28,FALSE),0)</f>
        <v>7</v>
      </c>
      <c r="AF18" s="38">
        <f>IFERROR(VLOOKUP($C18,LicencesSep24!$C$2:$AF$27,29,FALSE),0)</f>
        <v>0</v>
      </c>
      <c r="AG18" s="38">
        <f>IFERROR(VLOOKUP($C18,LicencesSep24!$C$2:$AF$27,30,FALSE),0)</f>
        <v>0</v>
      </c>
      <c r="AH18" s="38">
        <f>IFERROR(VLOOKUP($C18,#REF!,32,FALSE),0)</f>
        <v>0</v>
      </c>
      <c r="AI18" s="38"/>
      <c r="AJ18" s="39">
        <f t="shared" si="0"/>
        <v>185</v>
      </c>
      <c r="AL18" s="55" t="s">
        <v>22</v>
      </c>
      <c r="AM18" s="56" t="s">
        <v>109</v>
      </c>
      <c r="AN18" s="53">
        <v>0</v>
      </c>
      <c r="AO18" s="53">
        <v>18</v>
      </c>
      <c r="AP18" s="53">
        <v>0</v>
      </c>
      <c r="AQ18" s="53">
        <v>2</v>
      </c>
      <c r="AR18" s="53">
        <v>0</v>
      </c>
      <c r="AS18" s="53">
        <v>0</v>
      </c>
      <c r="AT18" s="53">
        <v>2</v>
      </c>
      <c r="AU18" s="53">
        <v>0</v>
      </c>
      <c r="AV18" s="53">
        <v>0</v>
      </c>
      <c r="AW18" s="53">
        <v>0</v>
      </c>
      <c r="AX18" s="53">
        <v>0</v>
      </c>
      <c r="AY18" s="53">
        <v>0</v>
      </c>
      <c r="AZ18" s="53">
        <v>5</v>
      </c>
      <c r="BA18" s="53">
        <v>2</v>
      </c>
      <c r="BB18" s="53">
        <v>0</v>
      </c>
      <c r="BC18" s="53">
        <v>0</v>
      </c>
      <c r="BD18" s="53">
        <v>1</v>
      </c>
      <c r="BE18" s="53">
        <v>0</v>
      </c>
      <c r="BF18" s="53">
        <v>2</v>
      </c>
      <c r="BG18" s="53">
        <v>0</v>
      </c>
      <c r="BH18" s="53">
        <v>0</v>
      </c>
      <c r="BI18" s="53">
        <v>0</v>
      </c>
      <c r="BJ18" s="53">
        <v>0</v>
      </c>
      <c r="BK18" s="53">
        <v>0</v>
      </c>
      <c r="BL18" s="53">
        <v>0</v>
      </c>
      <c r="BM18" s="53">
        <v>2</v>
      </c>
      <c r="BN18" s="53">
        <v>1</v>
      </c>
      <c r="BO18" s="53">
        <v>0</v>
      </c>
      <c r="BP18" s="53">
        <v>1</v>
      </c>
      <c r="BQ18" s="53">
        <v>0</v>
      </c>
      <c r="BR18" s="63">
        <v>0</v>
      </c>
    </row>
    <row r="19" spans="2:72" ht="16.5" thickTop="1" thickBot="1">
      <c r="B19" s="21" t="s">
        <v>30</v>
      </c>
      <c r="C19" s="2" t="s">
        <v>130</v>
      </c>
      <c r="D19" s="23" t="s">
        <v>103</v>
      </c>
      <c r="E19" s="38">
        <f>IFERROR(VLOOKUP($C19,LicencesSep24!$C$2:$AF$27,3,FALSE),0)</f>
        <v>0</v>
      </c>
      <c r="F19" s="38">
        <f>IFERROR(VLOOKUP($C19,LicencesSep24!$C$2:$AF$27,4,FALSE),0)</f>
        <v>0</v>
      </c>
      <c r="G19" s="38">
        <f>IFERROR(VLOOKUP($C19,LicencesSep24!$C$2:$AF$27,5,FALSE),0)</f>
        <v>0</v>
      </c>
      <c r="H19" s="38">
        <f>IFERROR(VLOOKUP($C19,LicencesSep24!$C$2:$AF$27,6,FALSE),0)</f>
        <v>0</v>
      </c>
      <c r="I19" s="38">
        <f>IFERROR(VLOOKUP($C19,LicencesSep24!$C$2:$AF$27,7,FALSE),0)</f>
        <v>0</v>
      </c>
      <c r="J19" s="38">
        <f>IFERROR(VLOOKUP($C19,LicencesSep24!$C$2:$AF$27,8,FALSE),0)</f>
        <v>0</v>
      </c>
      <c r="K19" s="38">
        <f>IFERROR(VLOOKUP($C19,LicencesSep24!$C$2:$AF$27,9,FALSE),0)</f>
        <v>0</v>
      </c>
      <c r="L19" s="38">
        <f>IFERROR(VLOOKUP($C19,LicencesSep24!$C$2:$AF$27,10,FALSE),0)</f>
        <v>0</v>
      </c>
      <c r="M19" s="38">
        <f>IFERROR(VLOOKUP($C19,LicencesSep24!$C$2:$AF$27,14,FALSE),0)</f>
        <v>0</v>
      </c>
      <c r="N19" s="38">
        <f>IFERROR(VLOOKUP($C19,LicencesSep24!$C$2:$AF$27,11,FALSE),0)</f>
        <v>1</v>
      </c>
      <c r="O19" s="38">
        <f>IFERROR(VLOOKUP($C19,LicencesSep24!$C$2:$AF$27,12,FALSE),0)</f>
        <v>0</v>
      </c>
      <c r="P19" s="38">
        <f>IFERROR(VLOOKUP($C19,LicencesSep24!$C$2:$AF$27,13,FALSE),0)</f>
        <v>0</v>
      </c>
      <c r="Q19" s="38">
        <f>IFERROR(VLOOKUP($C19,LicencesSep24!$C$2:$AF$27,15,FALSE),0)</f>
        <v>0</v>
      </c>
      <c r="R19" s="38">
        <f>IFERROR(VLOOKUP($C19,LicencesSep24!$C$2:$AF$27,16,FALSE),0)</f>
        <v>0</v>
      </c>
      <c r="S19" s="38">
        <f>IFERROR(VLOOKUP($C19,LicencesSep24!$C$2:$AF$27,17,FALSE),0)</f>
        <v>0</v>
      </c>
      <c r="T19" s="38"/>
      <c r="U19" s="38">
        <f>IFERROR(VLOOKUP($C19,LicencesSep24!$C$2:$AF$27,18,FALSE),0)</f>
        <v>0</v>
      </c>
      <c r="V19" s="38">
        <f>IFERROR(VLOOKUP($C19,LicencesSep24!$C$2:$AF$27,19,FALSE),0)</f>
        <v>0</v>
      </c>
      <c r="W19" s="38">
        <f>IFERROR(VLOOKUP($C19,LicencesSep24!$C$2:$AF$27,20,FALSE),0)</f>
        <v>0</v>
      </c>
      <c r="X19" s="38">
        <f>IFERROR(VLOOKUP($C19,LicencesSep24!$C$2:$AF$27,21,FALSE),0)</f>
        <v>0</v>
      </c>
      <c r="Y19" s="38">
        <f>IFERROR(VLOOKUP($C19,LicencesSep24!$C$2:$AF$27,22,FALSE),0)</f>
        <v>0</v>
      </c>
      <c r="Z19" s="38">
        <f>IFERROR(VLOOKUP($C19,LicencesSep24!$C$2:$AF$27,23,FALSE),0)</f>
        <v>0</v>
      </c>
      <c r="AA19" s="38">
        <f>IFERROR(VLOOKUP($C19,LicencesSep24!$C$2:$AF$27,24,FALSE),0)</f>
        <v>0</v>
      </c>
      <c r="AB19" s="38">
        <f>IFERROR(VLOOKUP($C19,LicencesSep24!$C$2:$AF$27,25,FALSE),0)</f>
        <v>0</v>
      </c>
      <c r="AC19" s="38">
        <f>IFERROR(VLOOKUP($C19,LicencesSep24!$C$2:$AF$27,26,FALSE),0)</f>
        <v>0</v>
      </c>
      <c r="AD19" s="38">
        <f>IFERROR(VLOOKUP($C19,LicencesSep24!$C$2:$AF$27,27,FALSE),0)</f>
        <v>0</v>
      </c>
      <c r="AE19" s="38">
        <f>IFERROR(VLOOKUP($C19,LicencesSep24!$C$2:$AF$27,28,FALSE),0)</f>
        <v>0</v>
      </c>
      <c r="AF19" s="38">
        <f>IFERROR(VLOOKUP($C19,LicencesSep24!$C$2:$AF$27,29,FALSE),0)</f>
        <v>0</v>
      </c>
      <c r="AG19" s="38">
        <f>IFERROR(VLOOKUP($C19,LicencesSep24!$C$2:$AF$27,30,FALSE),0)</f>
        <v>0</v>
      </c>
      <c r="AH19" s="38">
        <f>IFERROR(VLOOKUP($C19,#REF!,32,FALSE),0)</f>
        <v>0</v>
      </c>
      <c r="AI19" s="38"/>
      <c r="AJ19" s="39">
        <f t="shared" si="0"/>
        <v>1</v>
      </c>
      <c r="AL19" s="55" t="s">
        <v>5</v>
      </c>
      <c r="AM19" s="56" t="s">
        <v>95</v>
      </c>
      <c r="AN19" s="53">
        <v>5</v>
      </c>
      <c r="AO19" s="53">
        <v>102</v>
      </c>
      <c r="AP19" s="53">
        <v>11</v>
      </c>
      <c r="AQ19" s="53">
        <v>4</v>
      </c>
      <c r="AR19" s="53">
        <v>0</v>
      </c>
      <c r="AS19" s="53">
        <v>0</v>
      </c>
      <c r="AT19" s="53">
        <v>1</v>
      </c>
      <c r="AU19" s="53">
        <v>9</v>
      </c>
      <c r="AV19" s="53">
        <v>14</v>
      </c>
      <c r="AW19" s="53">
        <v>6</v>
      </c>
      <c r="AX19" s="53">
        <v>11</v>
      </c>
      <c r="AY19" s="53">
        <v>0</v>
      </c>
      <c r="AZ19" s="53">
        <v>7</v>
      </c>
      <c r="BA19" s="53">
        <v>1</v>
      </c>
      <c r="BB19" s="53">
        <v>0</v>
      </c>
      <c r="BC19" s="53">
        <v>0</v>
      </c>
      <c r="BD19" s="53">
        <v>1</v>
      </c>
      <c r="BE19" s="53">
        <v>0</v>
      </c>
      <c r="BF19" s="53">
        <v>18</v>
      </c>
      <c r="BG19" s="53">
        <v>3</v>
      </c>
      <c r="BH19" s="53">
        <v>9</v>
      </c>
      <c r="BI19" s="53">
        <v>0</v>
      </c>
      <c r="BJ19" s="53">
        <v>0</v>
      </c>
      <c r="BK19" s="53">
        <v>5</v>
      </c>
      <c r="BL19" s="53">
        <v>0</v>
      </c>
      <c r="BM19" s="53">
        <v>1</v>
      </c>
      <c r="BN19" s="53">
        <v>0</v>
      </c>
      <c r="BO19" s="53">
        <v>0</v>
      </c>
      <c r="BP19" s="53">
        <v>0</v>
      </c>
      <c r="BQ19" s="53">
        <v>1</v>
      </c>
      <c r="BR19" s="63">
        <v>0</v>
      </c>
    </row>
    <row r="20" spans="2:72" ht="16.5" thickTop="1" thickBot="1">
      <c r="B20" s="21" t="s">
        <v>29</v>
      </c>
      <c r="C20" s="2" t="s">
        <v>24</v>
      </c>
      <c r="D20" s="23" t="s">
        <v>115</v>
      </c>
      <c r="E20" s="38">
        <f>IFERROR(VLOOKUP($C20,LicencesSep24!$C$2:$AF$27,3,FALSE),0)</f>
        <v>1</v>
      </c>
      <c r="F20" s="38">
        <f>IFERROR(VLOOKUP($C20,LicencesSep24!$C$2:$AF$27,4,FALSE),0)</f>
        <v>0</v>
      </c>
      <c r="G20" s="38">
        <f>IFERROR(VLOOKUP($C20,LicencesSep24!$C$2:$AF$27,5,FALSE),0)</f>
        <v>0</v>
      </c>
      <c r="H20" s="38">
        <f>IFERROR(VLOOKUP($C20,LicencesSep24!$C$2:$AF$27,6,FALSE),0)</f>
        <v>0</v>
      </c>
      <c r="I20" s="38">
        <f>IFERROR(VLOOKUP($C20,LicencesSep24!$C$2:$AF$27,7,FALSE),0)</f>
        <v>0</v>
      </c>
      <c r="J20" s="38">
        <f>IFERROR(VLOOKUP($C20,LicencesSep24!$C$2:$AF$27,8,FALSE),0)</f>
        <v>2</v>
      </c>
      <c r="K20" s="38">
        <f>IFERROR(VLOOKUP($C20,LicencesSep24!$C$2:$AF$27,9,FALSE),0)</f>
        <v>0</v>
      </c>
      <c r="L20" s="38">
        <f>IFERROR(VLOOKUP($C20,LicencesSep24!$C$2:$AF$27,10,FALSE),0)</f>
        <v>0</v>
      </c>
      <c r="M20" s="38">
        <f>IFERROR(VLOOKUP($C20,LicencesSep24!$C$2:$AF$27,14,FALSE),0)</f>
        <v>0</v>
      </c>
      <c r="N20" s="38">
        <f>IFERROR(VLOOKUP($C20,LicencesSep24!$C$2:$AF$27,11,FALSE),0)</f>
        <v>1</v>
      </c>
      <c r="O20" s="38">
        <f>IFERROR(VLOOKUP($C20,LicencesSep24!$C$2:$AF$27,12,FALSE),0)</f>
        <v>0</v>
      </c>
      <c r="P20" s="38">
        <f>IFERROR(VLOOKUP($C20,LicencesSep24!$C$2:$AF$27,13,FALSE),0)</f>
        <v>0</v>
      </c>
      <c r="Q20" s="38">
        <f>IFERROR(VLOOKUP($C20,LicencesSep24!$C$2:$AF$27,15,FALSE),0)</f>
        <v>0</v>
      </c>
      <c r="R20" s="38">
        <f>IFERROR(VLOOKUP($C20,LicencesSep24!$C$2:$AF$27,16,FALSE),0)</f>
        <v>0</v>
      </c>
      <c r="S20" s="38">
        <f>IFERROR(VLOOKUP($C20,LicencesSep24!$C$2:$AF$27,17,FALSE),0)</f>
        <v>0</v>
      </c>
      <c r="T20" s="38"/>
      <c r="U20" s="38">
        <f>IFERROR(VLOOKUP($C20,LicencesSep24!$C$2:$AF$27,18,FALSE),0)</f>
        <v>0</v>
      </c>
      <c r="V20" s="38">
        <f>IFERROR(VLOOKUP($C20,LicencesSep24!$C$2:$AF$27,19,FALSE),0)</f>
        <v>0</v>
      </c>
      <c r="W20" s="38">
        <f>IFERROR(VLOOKUP($C20,LicencesSep24!$C$2:$AF$27,20,FALSE),0)</f>
        <v>0</v>
      </c>
      <c r="X20" s="38">
        <f>IFERROR(VLOOKUP($C20,LicencesSep24!$C$2:$AF$27,21,FALSE),0)</f>
        <v>0</v>
      </c>
      <c r="Y20" s="38">
        <f>IFERROR(VLOOKUP($C20,LicencesSep24!$C$2:$AF$27,22,FALSE),0)</f>
        <v>0</v>
      </c>
      <c r="Z20" s="38">
        <f>IFERROR(VLOOKUP($C20,LicencesSep24!$C$2:$AF$27,23,FALSE),0)</f>
        <v>0</v>
      </c>
      <c r="AA20" s="38">
        <f>IFERROR(VLOOKUP($C20,LicencesSep24!$C$2:$AF$27,24,FALSE),0)</f>
        <v>0</v>
      </c>
      <c r="AB20" s="38">
        <f>IFERROR(VLOOKUP($C20,LicencesSep24!$C$2:$AF$27,25,FALSE),0)</f>
        <v>0</v>
      </c>
      <c r="AC20" s="38">
        <f>IFERROR(VLOOKUP($C20,LicencesSep24!$C$2:$AF$27,26,FALSE),0)</f>
        <v>0</v>
      </c>
      <c r="AD20" s="38">
        <f>IFERROR(VLOOKUP($C20,LicencesSep24!$C$2:$AF$27,27,FALSE),0)</f>
        <v>0</v>
      </c>
      <c r="AE20" s="38">
        <f>IFERROR(VLOOKUP($C20,LicencesSep24!$C$2:$AF$27,28,FALSE),0)</f>
        <v>1</v>
      </c>
      <c r="AF20" s="38">
        <f>IFERROR(VLOOKUP($C20,LicencesSep24!$C$2:$AF$27,29,FALSE),0)</f>
        <v>0</v>
      </c>
      <c r="AG20" s="38">
        <f>IFERROR(VLOOKUP($C20,LicencesSep24!$C$2:$AF$27,30,FALSE),0)</f>
        <v>0</v>
      </c>
      <c r="AH20" s="38">
        <f>IFERROR(VLOOKUP($C20,#REF!,32,FALSE),0)</f>
        <v>0</v>
      </c>
      <c r="AI20" s="38"/>
      <c r="AJ20" s="39">
        <f t="shared" si="0"/>
        <v>5</v>
      </c>
      <c r="AL20" s="55" t="s">
        <v>6</v>
      </c>
      <c r="AM20" s="56" t="s">
        <v>97</v>
      </c>
      <c r="AN20" s="53">
        <v>7</v>
      </c>
      <c r="AO20" s="53">
        <v>265</v>
      </c>
      <c r="AP20" s="53">
        <v>7</v>
      </c>
      <c r="AQ20" s="53">
        <v>18</v>
      </c>
      <c r="AR20" s="53">
        <v>0</v>
      </c>
      <c r="AS20" s="53">
        <v>1</v>
      </c>
      <c r="AT20" s="53">
        <v>1</v>
      </c>
      <c r="AU20" s="53">
        <v>27</v>
      </c>
      <c r="AV20" s="53">
        <v>9</v>
      </c>
      <c r="AW20" s="53">
        <v>51</v>
      </c>
      <c r="AX20" s="53">
        <v>50</v>
      </c>
      <c r="AY20" s="53">
        <v>0</v>
      </c>
      <c r="AZ20" s="53">
        <v>46</v>
      </c>
      <c r="BA20" s="53">
        <v>8</v>
      </c>
      <c r="BB20" s="53">
        <v>0</v>
      </c>
      <c r="BC20" s="53">
        <v>0</v>
      </c>
      <c r="BD20" s="53">
        <v>1</v>
      </c>
      <c r="BE20" s="53">
        <v>3</v>
      </c>
      <c r="BF20" s="53">
        <v>24</v>
      </c>
      <c r="BG20" s="53">
        <v>2</v>
      </c>
      <c r="BH20" s="53">
        <v>0</v>
      </c>
      <c r="BI20" s="53">
        <v>3</v>
      </c>
      <c r="BJ20" s="53">
        <v>0</v>
      </c>
      <c r="BK20" s="53">
        <v>8</v>
      </c>
      <c r="BL20" s="53">
        <v>2</v>
      </c>
      <c r="BM20" s="53">
        <v>2</v>
      </c>
      <c r="BN20" s="53">
        <v>1</v>
      </c>
      <c r="BO20" s="53">
        <v>0</v>
      </c>
      <c r="BP20" s="53">
        <v>0</v>
      </c>
      <c r="BQ20" s="53">
        <v>1</v>
      </c>
      <c r="BR20" s="63">
        <v>0</v>
      </c>
    </row>
    <row r="21" spans="2:72" ht="15" customHeight="1" thickTop="1" thickBot="1">
      <c r="B21" s="21" t="s">
        <v>29</v>
      </c>
      <c r="C21" s="2" t="s">
        <v>173</v>
      </c>
      <c r="D21" s="23" t="s">
        <v>104</v>
      </c>
      <c r="E21" s="38">
        <f>IFERROR(VLOOKUP($C21,LicencesSep24!$C$2:$AF$27,3,FALSE),0)</f>
        <v>0</v>
      </c>
      <c r="F21" s="38">
        <f>IFERROR(VLOOKUP($C21,LicencesSep24!$C$2:$AF$27,4,FALSE),0)</f>
        <v>0</v>
      </c>
      <c r="G21" s="38">
        <f>IFERROR(VLOOKUP($C21,LicencesSep24!$C$2:$AF$27,5,FALSE),0)</f>
        <v>0</v>
      </c>
      <c r="H21" s="38">
        <f>IFERROR(VLOOKUP($C21,LicencesSep24!$C$2:$AF$27,6,FALSE),0)</f>
        <v>0</v>
      </c>
      <c r="I21" s="38">
        <f>IFERROR(VLOOKUP($C21,LicencesSep24!$C$2:$AF$27,7,FALSE),0)</f>
        <v>1</v>
      </c>
      <c r="J21" s="38">
        <f>IFERROR(VLOOKUP($C21,LicencesSep24!$C$2:$AF$27,8,FALSE),0)</f>
        <v>0</v>
      </c>
      <c r="K21" s="38">
        <f>IFERROR(VLOOKUP($C21,LicencesSep24!$C$2:$AF$27,9,FALSE),0)</f>
        <v>0</v>
      </c>
      <c r="L21" s="38">
        <f>IFERROR(VLOOKUP($C21,LicencesSep24!$C$2:$AF$27,10,FALSE),0)</f>
        <v>0</v>
      </c>
      <c r="M21" s="38">
        <f>IFERROR(VLOOKUP($C21,LicencesSep24!$C$2:$AF$27,14,FALSE),0)</f>
        <v>0</v>
      </c>
      <c r="N21" s="38">
        <f>IFERROR(VLOOKUP($C21,LicencesSep24!$C$2:$AF$27,11,FALSE),0)</f>
        <v>5</v>
      </c>
      <c r="O21" s="38">
        <f>IFERROR(VLOOKUP($C21,LicencesSep24!$C$2:$AF$27,12,FALSE),0)</f>
        <v>0</v>
      </c>
      <c r="P21" s="38">
        <f>IFERROR(VLOOKUP($C21,LicencesSep24!$C$2:$AF$27,13,FALSE),0)</f>
        <v>0</v>
      </c>
      <c r="Q21" s="38">
        <f>IFERROR(VLOOKUP($C21,LicencesSep24!$C$2:$AF$27,15,FALSE),0)</f>
        <v>0</v>
      </c>
      <c r="R21" s="38">
        <f>IFERROR(VLOOKUP($C21,LicencesSep24!$C$2:$AF$27,16,FALSE),0)</f>
        <v>0</v>
      </c>
      <c r="S21" s="38">
        <f>IFERROR(VLOOKUP($C21,LicencesSep24!$C$2:$AF$27,17,FALSE),0)</f>
        <v>0</v>
      </c>
      <c r="T21" s="38"/>
      <c r="U21" s="38">
        <f>IFERROR(VLOOKUP($C21,LicencesSep24!$C$2:$AF$27,18,FALSE),0)</f>
        <v>0</v>
      </c>
      <c r="V21" s="38">
        <f>IFERROR(VLOOKUP($C21,LicencesSep24!$C$2:$AF$27,19,FALSE),0)</f>
        <v>0</v>
      </c>
      <c r="W21" s="38">
        <f>IFERROR(VLOOKUP($C21,LicencesSep24!$C$2:$AF$27,20,FALSE),0)</f>
        <v>0</v>
      </c>
      <c r="X21" s="38">
        <f>IFERROR(VLOOKUP($C21,LicencesSep24!$C$2:$AF$27,21,FALSE),0)</f>
        <v>0</v>
      </c>
      <c r="Y21" s="38">
        <f>IFERROR(VLOOKUP($C21,LicencesSep24!$C$2:$AF$27,22,FALSE),0)</f>
        <v>0</v>
      </c>
      <c r="Z21" s="38">
        <f>IFERROR(VLOOKUP($C21,LicencesSep24!$C$2:$AF$27,23,FALSE),0)</f>
        <v>0</v>
      </c>
      <c r="AA21" s="38">
        <f>IFERROR(VLOOKUP($C21,LicencesSep24!$C$2:$AF$27,24,FALSE),0)</f>
        <v>0</v>
      </c>
      <c r="AB21" s="38">
        <f>IFERROR(VLOOKUP($C21,LicencesSep24!$C$2:$AF$27,25,FALSE),0)</f>
        <v>0</v>
      </c>
      <c r="AC21" s="38">
        <f>IFERROR(VLOOKUP($C21,LicencesSep24!$C$2:$AF$27,26,FALSE),0)</f>
        <v>0</v>
      </c>
      <c r="AD21" s="38">
        <f>IFERROR(VLOOKUP($C21,LicencesSep24!$C$2:$AF$27,27,FALSE),0)</f>
        <v>0</v>
      </c>
      <c r="AE21" s="38">
        <f>IFERROR(VLOOKUP($C21,LicencesSep24!$C$2:$AF$27,28,FALSE),0)</f>
        <v>0</v>
      </c>
      <c r="AF21" s="38">
        <f>IFERROR(VLOOKUP($C21,LicencesSep24!$C$2:$AF$27,29,FALSE),0)</f>
        <v>0</v>
      </c>
      <c r="AG21" s="38">
        <f>IFERROR(VLOOKUP($C21,LicencesSep24!$C$2:$AF$27,30,FALSE),0)</f>
        <v>0</v>
      </c>
      <c r="AH21" s="38">
        <f>IFERROR(VLOOKUP($C21,#REF!,32,FALSE),0)</f>
        <v>0</v>
      </c>
      <c r="AI21" s="38"/>
      <c r="AJ21" s="39">
        <f t="shared" si="0"/>
        <v>6</v>
      </c>
      <c r="AL21" s="55"/>
      <c r="AM21" s="56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63"/>
    </row>
    <row r="22" spans="2:72" ht="25.5" thickTop="1" thickBot="1">
      <c r="B22" s="21" t="s">
        <v>16</v>
      </c>
      <c r="C22" s="2" t="s">
        <v>26</v>
      </c>
      <c r="D22" s="23" t="s">
        <v>105</v>
      </c>
      <c r="E22" s="38">
        <f>IFERROR(VLOOKUP($C22,LicencesSep24!$C$2:$AF$27,3,FALSE),0)</f>
        <v>1</v>
      </c>
      <c r="F22" s="38">
        <f>IFERROR(VLOOKUP($C22,LicencesSep24!$C$2:$AF$27,4,FALSE),0)</f>
        <v>0</v>
      </c>
      <c r="G22" s="38">
        <f>IFERROR(VLOOKUP($C22,LicencesSep24!$C$2:$AF$27,5,FALSE),0)</f>
        <v>0</v>
      </c>
      <c r="H22" s="38">
        <f>IFERROR(VLOOKUP($C22,LicencesSep24!$C$2:$AF$27,6,FALSE),0)</f>
        <v>0</v>
      </c>
      <c r="I22" s="38">
        <f>IFERROR(VLOOKUP($C22,LicencesSep24!$C$2:$AF$27,7,FALSE),0)</f>
        <v>6</v>
      </c>
      <c r="J22" s="38">
        <f>IFERROR(VLOOKUP($C22,LicencesSep24!$C$2:$AF$27,8,FALSE),0)</f>
        <v>1</v>
      </c>
      <c r="K22" s="38">
        <f>IFERROR(VLOOKUP($C22,LicencesSep24!$C$2:$AF$27,9,FALSE),0)</f>
        <v>55</v>
      </c>
      <c r="L22" s="38">
        <f>IFERROR(VLOOKUP($C22,LicencesSep24!$C$2:$AF$27,10,FALSE),0)</f>
        <v>0</v>
      </c>
      <c r="M22" s="38">
        <f>IFERROR(VLOOKUP($C22,LicencesSep24!$C$2:$AF$27,14,FALSE),0)</f>
        <v>0</v>
      </c>
      <c r="N22" s="38">
        <f>IFERROR(VLOOKUP($C22,LicencesSep24!$C$2:$AF$27,11,FALSE),0)</f>
        <v>1</v>
      </c>
      <c r="O22" s="38">
        <f>IFERROR(VLOOKUP($C22,LicencesSep24!$C$2:$AF$27,12,FALSE),0)</f>
        <v>1</v>
      </c>
      <c r="P22" s="38">
        <f>IFERROR(VLOOKUP($C22,LicencesSep24!$C$2:$AF$27,13,FALSE),0)</f>
        <v>0</v>
      </c>
      <c r="Q22" s="38">
        <f>IFERROR(VLOOKUP($C22,LicencesSep24!$C$2:$AF$27,15,FALSE),0)</f>
        <v>0</v>
      </c>
      <c r="R22" s="38">
        <f>IFERROR(VLOOKUP($C22,LicencesSep24!$C$2:$AF$27,16,FALSE),0)</f>
        <v>0</v>
      </c>
      <c r="S22" s="38">
        <f>IFERROR(VLOOKUP($C22,LicencesSep24!$C$2:$AF$27,17,FALSE),0)</f>
        <v>0</v>
      </c>
      <c r="T22" s="38"/>
      <c r="U22" s="38">
        <f>IFERROR(VLOOKUP($C22,LicencesSep24!$C$2:$AF$27,18,FALSE),0)</f>
        <v>4</v>
      </c>
      <c r="V22" s="38">
        <f>IFERROR(VLOOKUP($C22,LicencesSep24!$C$2:$AF$27,19,FALSE),0)</f>
        <v>0</v>
      </c>
      <c r="W22" s="38">
        <f>IFERROR(VLOOKUP($C22,LicencesSep24!$C$2:$AF$27,20,FALSE),0)</f>
        <v>0</v>
      </c>
      <c r="X22" s="38">
        <f>IFERROR(VLOOKUP($C22,LicencesSep24!$C$2:$AF$27,21,FALSE),0)</f>
        <v>0</v>
      </c>
      <c r="Y22" s="38">
        <f>IFERROR(VLOOKUP($C22,LicencesSep24!$C$2:$AF$27,22,FALSE),0)</f>
        <v>0</v>
      </c>
      <c r="Z22" s="38">
        <f>IFERROR(VLOOKUP($C22,LicencesSep24!$C$2:$AF$27,23,FALSE),0)</f>
        <v>1</v>
      </c>
      <c r="AA22" s="38">
        <f>IFERROR(VLOOKUP($C22,LicencesSep24!$C$2:$AF$27,24,FALSE),0)</f>
        <v>1</v>
      </c>
      <c r="AB22" s="38">
        <f>IFERROR(VLOOKUP($C22,LicencesSep24!$C$2:$AF$27,25,FALSE),0)</f>
        <v>1</v>
      </c>
      <c r="AC22" s="38">
        <f>IFERROR(VLOOKUP($C22,LicencesSep24!$C$2:$AF$27,26,FALSE),0)</f>
        <v>0</v>
      </c>
      <c r="AD22" s="38">
        <f>IFERROR(VLOOKUP($C22,LicencesSep24!$C$2:$AF$27,27,FALSE),0)</f>
        <v>10</v>
      </c>
      <c r="AE22" s="38">
        <f>IFERROR(VLOOKUP($C22,LicencesSep24!$C$2:$AF$27,28,FALSE),0)</f>
        <v>2</v>
      </c>
      <c r="AF22" s="38">
        <f>IFERROR(VLOOKUP($C22,LicencesSep24!$C$2:$AF$27,29,FALSE),0)</f>
        <v>0</v>
      </c>
      <c r="AG22" s="38">
        <f>IFERROR(VLOOKUP($C22,LicencesSep24!$C$2:$AF$27,30,FALSE),0)</f>
        <v>0</v>
      </c>
      <c r="AH22" s="38">
        <f>IFERROR(VLOOKUP($C22,#REF!,32,FALSE),0)</f>
        <v>0</v>
      </c>
      <c r="AI22" s="38"/>
      <c r="AJ22" s="39">
        <f t="shared" si="0"/>
        <v>84</v>
      </c>
      <c r="AL22" s="55" t="s">
        <v>150</v>
      </c>
      <c r="AM22" s="56" t="s">
        <v>105</v>
      </c>
      <c r="AN22" s="53">
        <v>0</v>
      </c>
      <c r="AO22" s="53">
        <v>10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1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4</v>
      </c>
      <c r="BB22" s="53">
        <v>0</v>
      </c>
      <c r="BC22" s="53">
        <v>0</v>
      </c>
      <c r="BD22" s="53">
        <v>0</v>
      </c>
      <c r="BE22" s="53">
        <v>2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0</v>
      </c>
      <c r="BL22" s="53">
        <v>0</v>
      </c>
      <c r="BM22" s="53">
        <v>0</v>
      </c>
      <c r="BN22" s="53">
        <v>0</v>
      </c>
      <c r="BO22" s="53">
        <v>0</v>
      </c>
      <c r="BP22" s="53">
        <v>3</v>
      </c>
      <c r="BQ22" s="53">
        <v>0</v>
      </c>
      <c r="BR22" s="63">
        <v>0</v>
      </c>
    </row>
    <row r="23" spans="2:72" ht="25.5" thickTop="1" thickBot="1">
      <c r="B23" s="21" t="s">
        <v>16</v>
      </c>
      <c r="C23" s="2" t="s">
        <v>25</v>
      </c>
      <c r="D23" s="23" t="s">
        <v>106</v>
      </c>
      <c r="E23" s="38">
        <f>IFERROR(VLOOKUP($C23,LicencesSep24!$C$2:$AF$27,3,FALSE),0)</f>
        <v>2</v>
      </c>
      <c r="F23" s="38">
        <f>IFERROR(VLOOKUP($C23,LicencesSep24!$C$2:$AF$27,4,FALSE),0)</f>
        <v>0</v>
      </c>
      <c r="G23" s="38">
        <f>IFERROR(VLOOKUP($C23,LicencesSep24!$C$2:$AF$27,5,FALSE),0)</f>
        <v>0</v>
      </c>
      <c r="H23" s="38">
        <f>IFERROR(VLOOKUP($C23,LicencesSep24!$C$2:$AF$27,6,FALSE),0)</f>
        <v>0</v>
      </c>
      <c r="I23" s="38">
        <f>IFERROR(VLOOKUP($C23,LicencesSep24!$C$2:$AF$27,7,FALSE),0)</f>
        <v>0</v>
      </c>
      <c r="J23" s="38">
        <f>IFERROR(VLOOKUP($C23,LicencesSep24!$C$2:$AF$27,8,FALSE),0)</f>
        <v>0</v>
      </c>
      <c r="K23" s="38">
        <f>IFERROR(VLOOKUP($C23,LicencesSep24!$C$2:$AF$27,9,FALSE),0)</f>
        <v>0</v>
      </c>
      <c r="L23" s="38">
        <f>IFERROR(VLOOKUP($C23,LicencesSep24!$C$2:$AF$27,10,FALSE),0)</f>
        <v>0</v>
      </c>
      <c r="M23" s="38">
        <f>IFERROR(VLOOKUP($C23,LicencesSep24!$C$2:$AF$27,14,FALSE),0)</f>
        <v>0</v>
      </c>
      <c r="N23" s="38">
        <f>IFERROR(VLOOKUP($C23,LicencesSep24!$C$2:$AF$27,11,FALSE),0)</f>
        <v>0</v>
      </c>
      <c r="O23" s="38">
        <f>IFERROR(VLOOKUP($C23,LicencesSep24!$C$2:$AF$27,12,FALSE),0)</f>
        <v>0</v>
      </c>
      <c r="P23" s="38">
        <f>IFERROR(VLOOKUP($C23,LicencesSep24!$C$2:$AF$27,13,FALSE),0)</f>
        <v>0</v>
      </c>
      <c r="Q23" s="38">
        <f>IFERROR(VLOOKUP($C23,LicencesSep24!$C$2:$AF$27,15,FALSE),0)</f>
        <v>0</v>
      </c>
      <c r="R23" s="38">
        <f>IFERROR(VLOOKUP($C23,LicencesSep24!$C$2:$AF$27,16,FALSE),0)</f>
        <v>0</v>
      </c>
      <c r="S23" s="38">
        <f>IFERROR(VLOOKUP($C23,LicencesSep24!$C$2:$AF$27,17,FALSE),0)</f>
        <v>0</v>
      </c>
      <c r="T23" s="38"/>
      <c r="U23" s="38">
        <f>IFERROR(VLOOKUP($C23,LicencesSep24!$C$2:$AF$27,18,FALSE),0)</f>
        <v>0</v>
      </c>
      <c r="V23" s="38">
        <f>IFERROR(VLOOKUP($C23,LicencesSep24!$C$2:$AF$27,19,FALSE),0)</f>
        <v>0</v>
      </c>
      <c r="W23" s="38">
        <f>IFERROR(VLOOKUP($C23,LicencesSep24!$C$2:$AF$27,20,FALSE),0)</f>
        <v>0</v>
      </c>
      <c r="X23" s="38">
        <f>IFERROR(VLOOKUP($C23,LicencesSep24!$C$2:$AF$27,21,FALSE),0)</f>
        <v>0</v>
      </c>
      <c r="Y23" s="38">
        <f>IFERROR(VLOOKUP($C23,LicencesSep24!$C$2:$AF$27,22,FALSE),0)</f>
        <v>0</v>
      </c>
      <c r="Z23" s="38">
        <f>IFERROR(VLOOKUP($C23,LicencesSep24!$C$2:$AF$27,23,FALSE),0)</f>
        <v>0</v>
      </c>
      <c r="AA23" s="38">
        <f>IFERROR(VLOOKUP($C23,LicencesSep24!$C$2:$AF$27,24,FALSE),0)</f>
        <v>0</v>
      </c>
      <c r="AB23" s="38">
        <f>IFERROR(VLOOKUP($C23,LicencesSep24!$C$2:$AF$27,25,FALSE),0)</f>
        <v>0</v>
      </c>
      <c r="AC23" s="38">
        <f>IFERROR(VLOOKUP($C23,LicencesSep24!$C$2:$AF$27,26,FALSE),0)</f>
        <v>0</v>
      </c>
      <c r="AD23" s="38">
        <f>IFERROR(VLOOKUP($C23,LicencesSep24!$C$2:$AF$27,27,FALSE),0)</f>
        <v>0</v>
      </c>
      <c r="AE23" s="38">
        <f>IFERROR(VLOOKUP($C23,LicencesSep24!$C$2:$AF$27,28,FALSE),0)</f>
        <v>0</v>
      </c>
      <c r="AF23" s="38">
        <f>IFERROR(VLOOKUP($C23,LicencesSep24!$C$2:$AF$27,29,FALSE),0)</f>
        <v>0</v>
      </c>
      <c r="AG23" s="38">
        <f>IFERROR(VLOOKUP($C23,LicencesSep24!$C$2:$AF$27,30,FALSE),0)</f>
        <v>0</v>
      </c>
      <c r="AH23" s="38">
        <f>IFERROR(VLOOKUP($C23,#REF!,32,FALSE),0)</f>
        <v>0</v>
      </c>
      <c r="AI23" s="38"/>
      <c r="AJ23" s="39">
        <f t="shared" si="0"/>
        <v>2</v>
      </c>
      <c r="AL23" s="55" t="s">
        <v>4</v>
      </c>
      <c r="AM23" s="56" t="s">
        <v>94</v>
      </c>
      <c r="AN23" s="53">
        <v>0</v>
      </c>
      <c r="AO23" s="53">
        <v>64</v>
      </c>
      <c r="AP23" s="53">
        <v>1</v>
      </c>
      <c r="AQ23" s="53">
        <v>2</v>
      </c>
      <c r="AR23" s="53">
        <v>0</v>
      </c>
      <c r="AS23" s="53">
        <v>0</v>
      </c>
      <c r="AT23" s="53">
        <v>0</v>
      </c>
      <c r="AU23" s="53">
        <v>1</v>
      </c>
      <c r="AV23" s="53">
        <v>7</v>
      </c>
      <c r="AW23" s="53">
        <v>4</v>
      </c>
      <c r="AX23" s="53">
        <v>13</v>
      </c>
      <c r="AY23" s="53">
        <v>0</v>
      </c>
      <c r="AZ23" s="53">
        <v>0</v>
      </c>
      <c r="BA23" s="53">
        <v>1</v>
      </c>
      <c r="BB23" s="53">
        <v>0</v>
      </c>
      <c r="BC23" s="53">
        <v>0</v>
      </c>
      <c r="BD23" s="53">
        <v>0</v>
      </c>
      <c r="BE23" s="53">
        <v>1</v>
      </c>
      <c r="BF23" s="53">
        <v>23</v>
      </c>
      <c r="BG23" s="53">
        <v>0</v>
      </c>
      <c r="BH23" s="53">
        <v>0</v>
      </c>
      <c r="BI23" s="53">
        <v>0</v>
      </c>
      <c r="BJ23" s="53">
        <v>0</v>
      </c>
      <c r="BK23" s="53">
        <v>4</v>
      </c>
      <c r="BL23" s="53">
        <v>0</v>
      </c>
      <c r="BM23" s="53">
        <v>0</v>
      </c>
      <c r="BN23" s="53">
        <v>1</v>
      </c>
      <c r="BO23" s="53">
        <v>5</v>
      </c>
      <c r="BP23" s="53">
        <v>1</v>
      </c>
      <c r="BQ23" s="53">
        <v>0</v>
      </c>
      <c r="BR23" s="63">
        <v>0</v>
      </c>
    </row>
    <row r="24" spans="2:72" ht="16.5" thickTop="1" thickBot="1">
      <c r="B24" s="21" t="s">
        <v>17</v>
      </c>
      <c r="C24" s="2" t="s">
        <v>181</v>
      </c>
      <c r="D24" s="23" t="s">
        <v>107</v>
      </c>
      <c r="E24" s="38">
        <f>IFERROR(VLOOKUP($C24,LicencesSep24!$C$2:$AF$27,3,FALSE),0)</f>
        <v>0</v>
      </c>
      <c r="F24" s="38">
        <f>IFERROR(VLOOKUP($C24,LicencesSep24!$C$2:$AF$27,4,FALSE),0)</f>
        <v>1</v>
      </c>
      <c r="G24" s="38">
        <f>IFERROR(VLOOKUP($C24,LicencesSep24!$C$2:$AF$27,5,FALSE),0)</f>
        <v>0</v>
      </c>
      <c r="H24" s="38">
        <f>IFERROR(VLOOKUP($C24,LicencesSep24!$C$2:$AF$27,6,FALSE),0)</f>
        <v>0</v>
      </c>
      <c r="I24" s="38">
        <f>IFERROR(VLOOKUP($C24,LicencesSep24!$C$2:$AF$27,7,FALSE),0)</f>
        <v>0</v>
      </c>
      <c r="J24" s="38">
        <f>IFERROR(VLOOKUP($C24,LicencesSep24!$C$2:$AF$27,8,FALSE),0)</f>
        <v>0</v>
      </c>
      <c r="K24" s="38">
        <f>IFERROR(VLOOKUP($C24,LicencesSep24!$C$2:$AF$27,9,FALSE),0)</f>
        <v>1</v>
      </c>
      <c r="L24" s="38">
        <f>IFERROR(VLOOKUP($C24,LicencesSep24!$C$2:$AF$27,10,FALSE),0)</f>
        <v>0</v>
      </c>
      <c r="M24" s="38">
        <f>IFERROR(VLOOKUP($C24,LicencesSep24!$C$2:$AF$27,14,FALSE),0)</f>
        <v>0</v>
      </c>
      <c r="N24" s="38">
        <f>IFERROR(VLOOKUP($C24,LicencesSep24!$C$2:$AF$27,11,FALSE),0)</f>
        <v>0</v>
      </c>
      <c r="O24" s="38">
        <f>IFERROR(VLOOKUP($C24,LicencesSep24!$C$2:$AF$27,12,FALSE),0)</f>
        <v>0</v>
      </c>
      <c r="P24" s="38">
        <f>IFERROR(VLOOKUP($C24,LicencesSep24!$C$2:$AF$27,13,FALSE),0)</f>
        <v>5</v>
      </c>
      <c r="Q24" s="38">
        <f>IFERROR(VLOOKUP($C24,LicencesSep24!$C$2:$AF$27,15,FALSE),0)</f>
        <v>0</v>
      </c>
      <c r="R24" s="38">
        <f>IFERROR(VLOOKUP($C24,LicencesSep24!$C$2:$AF$27,16,FALSE),0)</f>
        <v>0</v>
      </c>
      <c r="S24" s="38">
        <f>IFERROR(VLOOKUP($C24,LicencesSep24!$C$2:$AF$27,17,FALSE),0)</f>
        <v>0</v>
      </c>
      <c r="T24" s="38">
        <f>IFERROR(VLOOKUP($C24,#REF!,19,FALSE),0)</f>
        <v>0</v>
      </c>
      <c r="U24" s="38">
        <f>IFERROR(VLOOKUP($C24,LicencesSep24!$C$2:$AF$27,18,FALSE),0)</f>
        <v>0</v>
      </c>
      <c r="V24" s="38">
        <f>IFERROR(VLOOKUP($C24,LicencesSep24!$C$2:$AF$27,19,FALSE),0)</f>
        <v>0</v>
      </c>
      <c r="W24" s="38">
        <f>IFERROR(VLOOKUP($C24,LicencesSep24!$C$2:$AF$27,20,FALSE),0)</f>
        <v>0</v>
      </c>
      <c r="X24" s="38">
        <f>IFERROR(VLOOKUP($C24,LicencesSep24!$C$2:$AF$27,21,FALSE),0)</f>
        <v>0</v>
      </c>
      <c r="Y24" s="38">
        <f>IFERROR(VLOOKUP($C24,LicencesSep24!$C$2:$AF$27,22,FALSE),0)</f>
        <v>0</v>
      </c>
      <c r="Z24" s="38">
        <f>IFERROR(VLOOKUP($C24,LicencesSep24!$C$2:$AF$27,23,FALSE),0)</f>
        <v>0</v>
      </c>
      <c r="AA24" s="38">
        <f>IFERROR(VLOOKUP($C24,LicencesSep24!$C$2:$AF$27,24,FALSE),0)</f>
        <v>0</v>
      </c>
      <c r="AB24" s="38">
        <f>IFERROR(VLOOKUP($C24,LicencesSep24!$C$2:$AF$27,25,FALSE),0)</f>
        <v>0</v>
      </c>
      <c r="AC24" s="86">
        <f>IFERROR(VLOOKUP($C24,LicencesSep24!$C$2:$AF$27,26,FALSE),0)</f>
        <v>0</v>
      </c>
      <c r="AD24" s="38">
        <f>IFERROR(VLOOKUP($C24,LicencesSep24!$C$2:$AF$27,27,FALSE),0)</f>
        <v>0</v>
      </c>
      <c r="AE24" s="38">
        <f>IFERROR(VLOOKUP($C24,LicencesSep24!$C$2:$AF$27,28,FALSE),0)</f>
        <v>0</v>
      </c>
      <c r="AF24" s="38">
        <f>IFERROR(VLOOKUP($C24,LicencesSep24!$C$2:$AF$27,29,FALSE),0)</f>
        <v>0</v>
      </c>
      <c r="AG24" s="38">
        <f>IFERROR(VLOOKUP($C24,LicencesSep24!$C$2:$AF$27,30,FALSE),0)</f>
        <v>0</v>
      </c>
      <c r="AH24" s="38">
        <f>IFERROR(VLOOKUP($C24,#REF!,32,FALSE),0)</f>
        <v>0</v>
      </c>
      <c r="AI24" s="38"/>
      <c r="AJ24" s="39">
        <f t="shared" si="0"/>
        <v>7</v>
      </c>
      <c r="AL24" s="55"/>
      <c r="AM24" s="56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63"/>
    </row>
    <row r="25" spans="2:72" ht="16.5" thickTop="1" thickBot="1">
      <c r="B25" s="21" t="s">
        <v>19</v>
      </c>
      <c r="C25" s="2" t="s">
        <v>20</v>
      </c>
      <c r="D25" s="23" t="s">
        <v>108</v>
      </c>
      <c r="E25" s="38">
        <f>IFERROR(VLOOKUP($C25,LicencesSep24!$C$2:$AF$27,3,FALSE),0)</f>
        <v>2</v>
      </c>
      <c r="F25" s="38">
        <f>IFERROR(VLOOKUP($C25,LicencesSep24!$C$2:$AF$27,4,FALSE),0)</f>
        <v>4</v>
      </c>
      <c r="G25" s="38">
        <f>IFERROR(VLOOKUP($C25,LicencesSep24!$C$2:$AF$27,5,FALSE),0)</f>
        <v>0</v>
      </c>
      <c r="H25" s="38">
        <f>IFERROR(VLOOKUP($C25,LicencesSep24!$C$2:$AF$27,6,FALSE),0)</f>
        <v>0</v>
      </c>
      <c r="I25" s="38">
        <f>IFERROR(VLOOKUP($C25,LicencesSep24!$C$2:$AF$27,7,FALSE),0)</f>
        <v>4</v>
      </c>
      <c r="J25" s="38">
        <f>IFERROR(VLOOKUP($C25,LicencesSep24!$C$2:$AF$27,8,FALSE),0)</f>
        <v>54</v>
      </c>
      <c r="K25" s="38">
        <f>IFERROR(VLOOKUP($C25,LicencesSep24!$C$2:$AF$27,9,FALSE),0)</f>
        <v>0</v>
      </c>
      <c r="L25" s="38">
        <f>IFERROR(VLOOKUP($C25,LicencesSep24!$C$2:$AF$27,10,FALSE),0)</f>
        <v>0</v>
      </c>
      <c r="M25" s="38">
        <f>IFERROR(VLOOKUP($C25,LicencesSep24!$C$2:$AF$27,14,FALSE),0)</f>
        <v>0</v>
      </c>
      <c r="N25" s="38">
        <f>IFERROR(VLOOKUP($C25,LicencesSep24!$C$2:$AF$27,11,FALSE),0)</f>
        <v>8</v>
      </c>
      <c r="O25" s="38">
        <f>IFERROR(VLOOKUP($C25,LicencesSep24!$C$2:$AF$27,12,FALSE),0)</f>
        <v>1</v>
      </c>
      <c r="P25" s="38">
        <f>IFERROR(VLOOKUP($C25,LicencesSep24!$C$2:$AF$27,13,FALSE),0)</f>
        <v>9</v>
      </c>
      <c r="Q25" s="38">
        <f>IFERROR(VLOOKUP($C25,LicencesSep24!$C$2:$AF$27,15,FALSE),0)</f>
        <v>0</v>
      </c>
      <c r="R25" s="38">
        <f>IFERROR(VLOOKUP($C25,LicencesSep24!$C$2:$AF$27,16,FALSE),0)</f>
        <v>0</v>
      </c>
      <c r="S25" s="38">
        <f>IFERROR(VLOOKUP($C25,LicencesSep24!$C$2:$AF$27,17,FALSE),0)</f>
        <v>1</v>
      </c>
      <c r="T25" s="38"/>
      <c r="U25" s="38">
        <f>IFERROR(VLOOKUP($C25,LicencesSep24!$C$2:$AF$27,18,FALSE),0)</f>
        <v>4</v>
      </c>
      <c r="V25" s="38">
        <f>IFERROR(VLOOKUP($C25,LicencesSep24!$C$2:$AF$27,19,FALSE),0)</f>
        <v>0</v>
      </c>
      <c r="W25" s="38">
        <f>IFERROR(VLOOKUP($C25,LicencesSep24!$C$2:$AF$27,20,FALSE),0)</f>
        <v>0</v>
      </c>
      <c r="X25" s="38">
        <f>IFERROR(VLOOKUP($C25,LicencesSep24!$C$2:$AF$27,21,FALSE),0)</f>
        <v>0</v>
      </c>
      <c r="Y25" s="38">
        <f>IFERROR(VLOOKUP($C25,LicencesSep24!$C$2:$AF$27,22,FALSE),0)</f>
        <v>0</v>
      </c>
      <c r="Z25" s="38">
        <f>IFERROR(VLOOKUP($C25,LicencesSep24!$C$2:$AF$27,23,FALSE),0)</f>
        <v>21</v>
      </c>
      <c r="AA25" s="38">
        <f>IFERROR(VLOOKUP($C25,LicencesSep24!$C$2:$AF$27,24,FALSE),0)</f>
        <v>0</v>
      </c>
      <c r="AB25" s="38">
        <f>IFERROR(VLOOKUP($C25,LicencesSep24!$C$2:$AF$27,25,FALSE),0)</f>
        <v>1</v>
      </c>
      <c r="AC25" s="38">
        <f>IFERROR(VLOOKUP($C25,LicencesSep24!$C$2:$AF$27,26,FALSE),0)</f>
        <v>0</v>
      </c>
      <c r="AD25" s="38">
        <f>IFERROR(VLOOKUP($C25,LicencesSep24!$C$2:$AF$27,27,FALSE),0)</f>
        <v>0</v>
      </c>
      <c r="AE25" s="38">
        <f>IFERROR(VLOOKUP($C25,LicencesSep24!$C$2:$AF$27,28,FALSE),0)</f>
        <v>13</v>
      </c>
      <c r="AF25" s="38">
        <f>IFERROR(VLOOKUP($C25,LicencesSep24!$C$2:$AF$27,29,FALSE),0)</f>
        <v>0</v>
      </c>
      <c r="AG25" s="38">
        <f>IFERROR(VLOOKUP($C25,LicencesSep24!$C$2:$AF$27,30,FALSE),0)</f>
        <v>0</v>
      </c>
      <c r="AH25" s="38">
        <f>IFERROR(VLOOKUP($C25,#REF!,32,FALSE),0)</f>
        <v>0</v>
      </c>
      <c r="AI25" s="38"/>
      <c r="AJ25" s="39">
        <f t="shared" si="0"/>
        <v>122</v>
      </c>
      <c r="AL25" s="55" t="s">
        <v>142</v>
      </c>
      <c r="AM25" s="56" t="s">
        <v>102</v>
      </c>
      <c r="AN25" s="53">
        <v>0</v>
      </c>
      <c r="AO25" s="53">
        <v>257</v>
      </c>
      <c r="AP25" s="53">
        <v>0</v>
      </c>
      <c r="AQ25" s="53">
        <v>2</v>
      </c>
      <c r="AR25" s="53">
        <v>0</v>
      </c>
      <c r="AS25" s="53">
        <v>11</v>
      </c>
      <c r="AT25" s="53">
        <v>0</v>
      </c>
      <c r="AU25" s="53">
        <v>3</v>
      </c>
      <c r="AV25" s="53">
        <v>6</v>
      </c>
      <c r="AW25" s="53">
        <v>2</v>
      </c>
      <c r="AX25" s="53">
        <v>31</v>
      </c>
      <c r="AY25" s="53">
        <v>2</v>
      </c>
      <c r="AZ25" s="53">
        <v>62</v>
      </c>
      <c r="BA25" s="53">
        <v>1</v>
      </c>
      <c r="BB25" s="53">
        <v>75</v>
      </c>
      <c r="BC25" s="53">
        <v>0</v>
      </c>
      <c r="BD25" s="53">
        <v>0</v>
      </c>
      <c r="BE25" s="53">
        <v>0</v>
      </c>
      <c r="BF25" s="53">
        <v>12</v>
      </c>
      <c r="BG25" s="53">
        <v>1</v>
      </c>
      <c r="BH25" s="53">
        <v>0</v>
      </c>
      <c r="BI25" s="53">
        <v>0</v>
      </c>
      <c r="BJ25" s="53">
        <v>0</v>
      </c>
      <c r="BK25" s="53">
        <v>9</v>
      </c>
      <c r="BL25" s="53">
        <v>1</v>
      </c>
      <c r="BM25" s="53">
        <v>5</v>
      </c>
      <c r="BN25" s="53">
        <v>9</v>
      </c>
      <c r="BO25" s="53">
        <v>5</v>
      </c>
      <c r="BP25" s="53">
        <v>20</v>
      </c>
      <c r="BQ25" s="53">
        <v>0</v>
      </c>
      <c r="BR25" s="63">
        <v>0</v>
      </c>
    </row>
    <row r="26" spans="2:72" ht="16.5" thickTop="1" thickBot="1">
      <c r="B26" s="21" t="s">
        <v>21</v>
      </c>
      <c r="C26" s="2" t="s">
        <v>128</v>
      </c>
      <c r="D26" s="23" t="s">
        <v>111</v>
      </c>
      <c r="E26" s="38">
        <f>IFERROR(VLOOKUP($C26,LicencesSep24!$C$2:$AF$27,3,FALSE),0)</f>
        <v>8</v>
      </c>
      <c r="F26" s="38">
        <f>IFERROR(VLOOKUP($C26,LicencesSep24!$C$2:$AF$27,4,FALSE),0)</f>
        <v>3</v>
      </c>
      <c r="G26" s="38">
        <f>IFERROR(VLOOKUP($C26,LicencesSep24!$C$2:$AF$27,5,FALSE),0)</f>
        <v>0</v>
      </c>
      <c r="H26" s="38">
        <f>IFERROR(VLOOKUP($C26,LicencesSep24!$C$2:$AF$27,6,FALSE),0)</f>
        <v>0</v>
      </c>
      <c r="I26" s="38">
        <f>IFERROR(VLOOKUP($C26,LicencesSep24!$C$2:$AF$27,7,FALSE),0)</f>
        <v>2</v>
      </c>
      <c r="J26" s="38">
        <f>IFERROR(VLOOKUP($C26,LicencesSep24!$C$2:$AF$27,8,FALSE),0)</f>
        <v>0</v>
      </c>
      <c r="K26" s="38">
        <f>IFERROR(VLOOKUP($C26,LicencesSep24!$C$2:$AF$27,9,FALSE),0)</f>
        <v>0</v>
      </c>
      <c r="L26" s="38">
        <f>IFERROR(VLOOKUP($C26,LicencesSep24!$C$2:$AF$27,10,FALSE),0)</f>
        <v>0</v>
      </c>
      <c r="M26" s="38">
        <f>IFERROR(VLOOKUP($C26,LicencesSep24!$C$2:$AF$27,14,FALSE),0)</f>
        <v>0</v>
      </c>
      <c r="N26" s="38">
        <f>IFERROR(VLOOKUP($C26,LicencesSep24!$C$2:$AF$27,11,FALSE),0)</f>
        <v>3</v>
      </c>
      <c r="O26" s="38">
        <f>IFERROR(VLOOKUP($C26,LicencesSep24!$C$2:$AF$27,12,FALSE),0)</f>
        <v>2</v>
      </c>
      <c r="P26" s="38">
        <f>IFERROR(VLOOKUP($C26,LicencesSep24!$C$2:$AF$27,13,FALSE),0)</f>
        <v>7</v>
      </c>
      <c r="Q26" s="38">
        <f>IFERROR(VLOOKUP($C26,LicencesSep24!$C$2:$AF$27,15,FALSE),0)</f>
        <v>0</v>
      </c>
      <c r="R26" s="38">
        <f>IFERROR(VLOOKUP($C26,LicencesSep24!$C$2:$AF$27,16,FALSE),0)</f>
        <v>0</v>
      </c>
      <c r="S26" s="38">
        <f>IFERROR(VLOOKUP($C26,LicencesSep24!$C$2:$AF$27,17,FALSE),0)</f>
        <v>0</v>
      </c>
      <c r="T26" s="38"/>
      <c r="U26" s="38">
        <f>IFERROR(VLOOKUP($C26,LicencesSep24!$C$2:$AF$27,18,FALSE),0)</f>
        <v>4</v>
      </c>
      <c r="V26" s="38">
        <f>IFERROR(VLOOKUP($C26,LicencesSep24!$C$2:$AF$27,19,FALSE),0)</f>
        <v>0</v>
      </c>
      <c r="W26" s="38">
        <f>IFERROR(VLOOKUP($C26,LicencesSep24!$C$2:$AF$27,20,FALSE),0)</f>
        <v>0</v>
      </c>
      <c r="X26" s="38">
        <f>IFERROR(VLOOKUP($C26,LicencesSep24!$C$2:$AF$27,21,FALSE),0)</f>
        <v>0</v>
      </c>
      <c r="Y26" s="38">
        <f>IFERROR(VLOOKUP($C26,LicencesSep24!$C$2:$AF$27,22,FALSE),0)</f>
        <v>0</v>
      </c>
      <c r="Z26" s="38">
        <f>IFERROR(VLOOKUP($C26,LicencesSep24!$C$2:$AF$27,23,FALSE),0)</f>
        <v>3</v>
      </c>
      <c r="AA26" s="38">
        <f>IFERROR(VLOOKUP($C26,LicencesSep24!$C$2:$AF$27,24,FALSE),0)</f>
        <v>2</v>
      </c>
      <c r="AB26" s="38">
        <f>IFERROR(VLOOKUP($C26,LicencesSep24!$C$2:$AF$27,25,FALSE),0)</f>
        <v>1</v>
      </c>
      <c r="AC26" s="38">
        <f>IFERROR(VLOOKUP($C26,LicencesSep24!$C$2:$AF$27,26,FALSE),0)</f>
        <v>2</v>
      </c>
      <c r="AD26" s="38">
        <f>IFERROR(VLOOKUP($C26,LicencesSep24!$C$2:$AF$27,27,FALSE),0)</f>
        <v>0</v>
      </c>
      <c r="AE26" s="38">
        <f>IFERROR(VLOOKUP($C26,LicencesSep24!$C$2:$AF$27,28,FALSE),0)</f>
        <v>7</v>
      </c>
      <c r="AF26" s="38">
        <f>IFERROR(VLOOKUP($C26,LicencesSep24!$C$2:$AF$27,29,FALSE),0)</f>
        <v>0</v>
      </c>
      <c r="AG26" s="38">
        <f>IFERROR(VLOOKUP($C26,LicencesSep24!$C$2:$AF$27,30,FALSE),0)</f>
        <v>0</v>
      </c>
      <c r="AH26" s="38">
        <f>IFERROR(VLOOKUP($C26,#REF!,32,FALSE),0)</f>
        <v>0</v>
      </c>
      <c r="AI26" s="38"/>
      <c r="AJ26" s="39">
        <f t="shared" si="0"/>
        <v>44</v>
      </c>
      <c r="AK26" s="1"/>
      <c r="AL26" s="55" t="s">
        <v>140</v>
      </c>
      <c r="AM26" s="56" t="s">
        <v>99</v>
      </c>
      <c r="AN26" s="53">
        <v>0</v>
      </c>
      <c r="AO26" s="53">
        <v>13</v>
      </c>
      <c r="AP26" s="53">
        <v>2</v>
      </c>
      <c r="AQ26" s="53">
        <v>1</v>
      </c>
      <c r="AR26" s="53">
        <v>0</v>
      </c>
      <c r="AS26" s="53">
        <v>0</v>
      </c>
      <c r="AT26" s="53">
        <v>0</v>
      </c>
      <c r="AU26" s="53">
        <v>4</v>
      </c>
      <c r="AV26" s="53">
        <v>0</v>
      </c>
      <c r="AW26" s="53">
        <v>0</v>
      </c>
      <c r="AX26" s="53">
        <v>3</v>
      </c>
      <c r="AY26" s="53">
        <v>0</v>
      </c>
      <c r="AZ26" s="53">
        <v>0</v>
      </c>
      <c r="BA26" s="53">
        <v>0</v>
      </c>
      <c r="BB26" s="53">
        <v>0</v>
      </c>
      <c r="BC26" s="53">
        <v>0</v>
      </c>
      <c r="BD26" s="53">
        <v>0</v>
      </c>
      <c r="BE26" s="53">
        <v>0</v>
      </c>
      <c r="BF26" s="53">
        <v>2</v>
      </c>
      <c r="BG26" s="53">
        <v>0</v>
      </c>
      <c r="BH26" s="53">
        <v>0</v>
      </c>
      <c r="BI26" s="53">
        <v>0</v>
      </c>
      <c r="BJ26" s="53">
        <v>0</v>
      </c>
      <c r="BK26" s="53">
        <v>0</v>
      </c>
      <c r="BL26" s="53">
        <v>1</v>
      </c>
      <c r="BM26" s="53">
        <v>0</v>
      </c>
      <c r="BN26" s="53">
        <v>0</v>
      </c>
      <c r="BO26" s="53">
        <v>0</v>
      </c>
      <c r="BP26" s="53">
        <v>0</v>
      </c>
      <c r="BQ26" s="53">
        <v>0</v>
      </c>
      <c r="BR26" s="63">
        <v>0</v>
      </c>
    </row>
    <row r="27" spans="2:72" ht="17.649999999999999" customHeight="1" thickTop="1" thickBot="1">
      <c r="B27" s="21" t="s">
        <v>21</v>
      </c>
      <c r="C27" s="2" t="s">
        <v>129</v>
      </c>
      <c r="D27" s="23" t="s">
        <v>112</v>
      </c>
      <c r="E27" s="38">
        <f>IFERROR(VLOOKUP($C27,LicencesSep24!$C$2:$AF$27,3,FALSE),0)</f>
        <v>1</v>
      </c>
      <c r="F27" s="38">
        <f>IFERROR(VLOOKUP($C27,LicencesSep24!$C$2:$AF$27,4,FALSE),0)</f>
        <v>4</v>
      </c>
      <c r="G27" s="38">
        <f>IFERROR(VLOOKUP($C27,LicencesSep24!$C$2:$AF$27,5,FALSE),0)</f>
        <v>1</v>
      </c>
      <c r="H27" s="38">
        <f>IFERROR(VLOOKUP($C27,LicencesSep24!$C$2:$AF$27,6,FALSE),0)</f>
        <v>0</v>
      </c>
      <c r="I27" s="38">
        <f>IFERROR(VLOOKUP($C27,LicencesSep24!$C$2:$AF$27,7,FALSE),0)</f>
        <v>2</v>
      </c>
      <c r="J27" s="38">
        <f>IFERROR(VLOOKUP($C27,LicencesSep24!$C$2:$AF$27,8,FALSE),0)</f>
        <v>66</v>
      </c>
      <c r="K27" s="38">
        <f>IFERROR(VLOOKUP($C27,LicencesSep24!$C$2:$AF$27,9,FALSE),0)</f>
        <v>1</v>
      </c>
      <c r="L27" s="38">
        <f>IFERROR(VLOOKUP($C27,LicencesSep24!$C$2:$AF$27,10,FALSE),0)</f>
        <v>0</v>
      </c>
      <c r="M27" s="38">
        <f>IFERROR(VLOOKUP($C27,LicencesSep24!$C$2:$AF$27,14,FALSE),0)</f>
        <v>0</v>
      </c>
      <c r="N27" s="38">
        <f>IFERROR(VLOOKUP($C27,LicencesSep24!$C$2:$AF$27,11,FALSE),0)</f>
        <v>22</v>
      </c>
      <c r="O27" s="38">
        <f>IFERROR(VLOOKUP($C27,LicencesSep24!$C$2:$AF$27,12,FALSE),0)</f>
        <v>0</v>
      </c>
      <c r="P27" s="38">
        <f>IFERROR(VLOOKUP($C27,LicencesSep24!$C$2:$AF$27,13,FALSE),0)</f>
        <v>15</v>
      </c>
      <c r="Q27" s="38">
        <f>IFERROR(VLOOKUP($C27,LicencesSep24!$C$2:$AF$27,15,FALSE),0)</f>
        <v>5</v>
      </c>
      <c r="R27" s="38">
        <f>IFERROR(VLOOKUP($C27,LicencesSep24!$C$2:$AF$27,16,FALSE),0)</f>
        <v>2</v>
      </c>
      <c r="S27" s="38">
        <f>IFERROR(VLOOKUP($C27,LicencesSep24!$C$2:$AF$27,17,FALSE),0)</f>
        <v>1</v>
      </c>
      <c r="T27" s="38"/>
      <c r="U27" s="38">
        <f>IFERROR(VLOOKUP($C27,LicencesSep24!$C$2:$AF$27,18,FALSE),0)</f>
        <v>41</v>
      </c>
      <c r="V27" s="38">
        <f>IFERROR(VLOOKUP($C27,LicencesSep24!$C$2:$AF$27,19,FALSE),0)</f>
        <v>1</v>
      </c>
      <c r="W27" s="38">
        <f>IFERROR(VLOOKUP($C27,LicencesSep24!$C$2:$AF$27,20,FALSE),0)</f>
        <v>0</v>
      </c>
      <c r="X27" s="38">
        <f>IFERROR(VLOOKUP($C27,LicencesSep24!$C$2:$AF$27,21,FALSE),0)</f>
        <v>0</v>
      </c>
      <c r="Y27" s="38">
        <f>IFERROR(VLOOKUP($C27,LicencesSep24!$C$2:$AF$27,22,FALSE),0)</f>
        <v>0</v>
      </c>
      <c r="Z27" s="38">
        <f>IFERROR(VLOOKUP($C27,LicencesSep24!$C$2:$AF$27,23,FALSE),0)</f>
        <v>3</v>
      </c>
      <c r="AA27" s="38">
        <f>IFERROR(VLOOKUP($C27,LicencesSep24!$C$2:$AF$27,24,FALSE),0)</f>
        <v>0</v>
      </c>
      <c r="AB27" s="38">
        <f>IFERROR(VLOOKUP($C27,LicencesSep24!$C$2:$AF$27,25,FALSE),0)</f>
        <v>12</v>
      </c>
      <c r="AC27" s="38">
        <f>IFERROR(VLOOKUP($C27,LicencesSep24!$C$2:$AF$27,26,FALSE),0)</f>
        <v>7</v>
      </c>
      <c r="AD27" s="38">
        <f>IFERROR(VLOOKUP($C27,LicencesSep24!$C$2:$AF$27,27,FALSE),0)</f>
        <v>6</v>
      </c>
      <c r="AE27" s="38">
        <f>IFERROR(VLOOKUP($C27,LicencesSep24!$C$2:$AF$27,28,FALSE),0)</f>
        <v>7</v>
      </c>
      <c r="AF27" s="38">
        <f>IFERROR(VLOOKUP($C27,LicencesSep24!$C$2:$AF$27,29,FALSE),0)</f>
        <v>0</v>
      </c>
      <c r="AG27" s="38">
        <f>IFERROR(VLOOKUP($C27,LicencesSep24!$C$2:$AF$27,30,FALSE),0)</f>
        <v>0</v>
      </c>
      <c r="AH27" s="38">
        <f>IFERROR(VLOOKUP($C27,#REF!,32,FALSE),0)</f>
        <v>0</v>
      </c>
      <c r="AI27" s="38"/>
      <c r="AJ27" s="39">
        <f t="shared" si="0"/>
        <v>197</v>
      </c>
      <c r="AL27" s="55" t="s">
        <v>148</v>
      </c>
      <c r="AM27" s="56" t="s">
        <v>94</v>
      </c>
      <c r="AN27" s="53">
        <v>1</v>
      </c>
      <c r="AO27" s="53">
        <v>801</v>
      </c>
      <c r="AP27" s="53">
        <v>32</v>
      </c>
      <c r="AQ27" s="53">
        <v>32</v>
      </c>
      <c r="AR27" s="53">
        <v>0</v>
      </c>
      <c r="AS27" s="53">
        <v>2</v>
      </c>
      <c r="AT27" s="53">
        <v>4</v>
      </c>
      <c r="AU27" s="53">
        <v>186</v>
      </c>
      <c r="AV27" s="53">
        <v>37</v>
      </c>
      <c r="AW27" s="53">
        <v>16</v>
      </c>
      <c r="AX27" s="53">
        <v>138</v>
      </c>
      <c r="AY27" s="53">
        <v>1</v>
      </c>
      <c r="AZ27" s="53">
        <v>72</v>
      </c>
      <c r="BA27" s="53">
        <v>47</v>
      </c>
      <c r="BB27" s="53">
        <v>2</v>
      </c>
      <c r="BC27" s="53">
        <v>0</v>
      </c>
      <c r="BD27" s="53">
        <v>22</v>
      </c>
      <c r="BE27" s="53">
        <v>1</v>
      </c>
      <c r="BF27" s="53">
        <v>83</v>
      </c>
      <c r="BG27" s="53">
        <v>5</v>
      </c>
      <c r="BH27" s="53">
        <v>0</v>
      </c>
      <c r="BI27" s="53">
        <v>4</v>
      </c>
      <c r="BJ27" s="53">
        <v>0</v>
      </c>
      <c r="BK27" s="53">
        <v>43</v>
      </c>
      <c r="BL27" s="53">
        <v>5</v>
      </c>
      <c r="BM27" s="53">
        <v>36</v>
      </c>
      <c r="BN27" s="53">
        <v>16</v>
      </c>
      <c r="BO27" s="53">
        <v>0</v>
      </c>
      <c r="BP27" s="53">
        <v>13</v>
      </c>
      <c r="BQ27" s="53">
        <v>4</v>
      </c>
      <c r="BR27" s="63">
        <v>0</v>
      </c>
    </row>
    <row r="28" spans="2:72" ht="17.649999999999999" customHeight="1" thickTop="1" thickBot="1">
      <c r="B28" s="21" t="s">
        <v>21</v>
      </c>
      <c r="C28" s="42" t="s">
        <v>131</v>
      </c>
      <c r="D28" s="23" t="s">
        <v>132</v>
      </c>
      <c r="E28" s="38">
        <f>IFERROR(VLOOKUP($C28,LicencesSep24!$C$2:$AF$27,3,FALSE),0)</f>
        <v>42</v>
      </c>
      <c r="F28" s="38">
        <f>IFERROR(VLOOKUP($C28,LicencesSep24!$C$2:$AF$27,4,FALSE),0)</f>
        <v>1</v>
      </c>
      <c r="G28" s="38">
        <f>IFERROR(VLOOKUP($C28,LicencesSep24!$C$2:$AF$27,5,FALSE),0)</f>
        <v>0</v>
      </c>
      <c r="H28" s="38">
        <f>IFERROR(VLOOKUP($C28,LicencesSep24!$C$2:$AF$27,6,FALSE),0)</f>
        <v>0</v>
      </c>
      <c r="I28" s="38">
        <f>IFERROR(VLOOKUP($C28,LicencesSep24!$C$2:$AF$27,7,FALSE),0)</f>
        <v>5</v>
      </c>
      <c r="J28" s="38">
        <f>IFERROR(VLOOKUP($C28,LicencesSep24!$C$2:$AF$27,8,FALSE),0)</f>
        <v>5</v>
      </c>
      <c r="K28" s="38">
        <f>IFERROR(VLOOKUP($C28,LicencesSep24!$C$2:$AF$27,9,FALSE),0)</f>
        <v>1</v>
      </c>
      <c r="L28" s="38">
        <f>IFERROR(VLOOKUP($C28,LicencesSep24!$C$2:$AF$27,10,FALSE),0)</f>
        <v>0</v>
      </c>
      <c r="M28" s="38">
        <f>IFERROR(VLOOKUP($C28,LicencesSep24!$C$2:$AF$27,14,FALSE),0)</f>
        <v>0</v>
      </c>
      <c r="N28" s="38">
        <f>IFERROR(VLOOKUP($C28,LicencesSep24!$C$2:$AF$27,11,FALSE),0)</f>
        <v>0</v>
      </c>
      <c r="O28" s="38">
        <f>IFERROR(VLOOKUP($C28,LicencesSep24!$C$2:$AF$27,12,FALSE),0)</f>
        <v>0</v>
      </c>
      <c r="P28" s="38">
        <f>IFERROR(VLOOKUP($C28,LicencesSep24!$C$2:$AF$27,13,FALSE),0)</f>
        <v>2</v>
      </c>
      <c r="Q28" s="38">
        <f>IFERROR(VLOOKUP($C28,LicencesSep24!$C$2:$AF$27,15,FALSE),0)</f>
        <v>0</v>
      </c>
      <c r="R28" s="38">
        <f>IFERROR(VLOOKUP($C28,LicencesSep24!$C$2:$AF$27,16,FALSE),0)</f>
        <v>0</v>
      </c>
      <c r="S28" s="38">
        <f>IFERROR(VLOOKUP($C28,LicencesSep24!$C$2:$AF$27,17,FALSE),0)</f>
        <v>0</v>
      </c>
      <c r="T28" s="38"/>
      <c r="U28" s="38">
        <f>IFERROR(VLOOKUP($C28,LicencesSep24!$C$2:$AF$27,18,FALSE),0)</f>
        <v>3</v>
      </c>
      <c r="V28" s="38">
        <f>IFERROR(VLOOKUP($C28,LicencesSep24!$C$2:$AF$27,19,FALSE),0)</f>
        <v>1</v>
      </c>
      <c r="W28" s="38">
        <f>IFERROR(VLOOKUP($C28,LicencesSep24!$C$2:$AF$27,20,FALSE),0)</f>
        <v>0</v>
      </c>
      <c r="X28" s="38">
        <f>IFERROR(VLOOKUP($C28,LicencesSep24!$C$2:$AF$27,21,FALSE),0)</f>
        <v>0</v>
      </c>
      <c r="Y28" s="38">
        <f>IFERROR(VLOOKUP($C28,LicencesSep24!$C$2:$AF$27,22,FALSE),0)</f>
        <v>0</v>
      </c>
      <c r="Z28" s="38">
        <f>IFERROR(VLOOKUP($C28,LicencesSep24!$C$2:$AF$27,23,FALSE),0)</f>
        <v>0</v>
      </c>
      <c r="AA28" s="38">
        <f>IFERROR(VLOOKUP($C28,LicencesSep24!$C$2:$AF$27,24,FALSE),0)</f>
        <v>0</v>
      </c>
      <c r="AB28" s="38">
        <f>IFERROR(VLOOKUP($C28,LicencesSep24!$C$2:$AF$27,25,FALSE),0)</f>
        <v>6</v>
      </c>
      <c r="AC28" s="38">
        <f>IFERROR(VLOOKUP($C28,LicencesSep24!$C$2:$AF$27,26,FALSE),0)</f>
        <v>1</v>
      </c>
      <c r="AD28" s="38">
        <f>IFERROR(VLOOKUP($C28,LicencesSep24!$C$2:$AF$27,27,FALSE),0)</f>
        <v>1</v>
      </c>
      <c r="AE28" s="38">
        <f>IFERROR(VLOOKUP($C28,LicencesSep24!$C$2:$AF$27,28,FALSE),0)</f>
        <v>1</v>
      </c>
      <c r="AF28" s="38">
        <f>IFERROR(VLOOKUP($C28,LicencesSep24!$C$2:$AF$27,29,FALSE),0)</f>
        <v>0</v>
      </c>
      <c r="AG28" s="38">
        <f>IFERROR(VLOOKUP($C28,LicencesSep24!$C$2:$AF$27,30,FALSE),0)</f>
        <v>1</v>
      </c>
      <c r="AH28" s="38">
        <f>IFERROR(VLOOKUP($C28,#REF!,32,FALSE),0)</f>
        <v>0</v>
      </c>
      <c r="AI28" s="38"/>
      <c r="AJ28" s="39">
        <f t="shared" si="0"/>
        <v>70</v>
      </c>
      <c r="AL28" s="55"/>
      <c r="AM28" s="56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63"/>
    </row>
    <row r="29" spans="2:72" ht="17.649999999999999" customHeight="1" thickTop="1" thickBot="1">
      <c r="B29" s="21" t="s">
        <v>27</v>
      </c>
      <c r="C29" s="2" t="s">
        <v>28</v>
      </c>
      <c r="D29" s="23" t="s">
        <v>113</v>
      </c>
      <c r="E29" s="38">
        <f>IFERROR(VLOOKUP($C29,LicencesSep24!$C$2:$AF$27,3,FALSE),0)</f>
        <v>158</v>
      </c>
      <c r="F29" s="38">
        <f>IFERROR(VLOOKUP($C29,LicencesSep24!$C$2:$AF$27,4,FALSE),0)</f>
        <v>2</v>
      </c>
      <c r="G29" s="38">
        <f>IFERROR(VLOOKUP($C29,LicencesSep24!$C$2:$AF$27,5,FALSE),0)</f>
        <v>0</v>
      </c>
      <c r="H29" s="38">
        <f>IFERROR(VLOOKUP($C29,LicencesSep24!$C$2:$AF$27,6,FALSE),0)</f>
        <v>0</v>
      </c>
      <c r="I29" s="38">
        <f>IFERROR(VLOOKUP($C29,LicencesSep24!$C$2:$AF$27,7,FALSE),0)</f>
        <v>3</v>
      </c>
      <c r="J29" s="38">
        <f>IFERROR(VLOOKUP($C29,LicencesSep24!$C$2:$AF$27,8,FALSE),0)</f>
        <v>22</v>
      </c>
      <c r="K29" s="38">
        <f>IFERROR(VLOOKUP($C29,LicencesSep24!$C$2:$AF$27,9,FALSE),0)</f>
        <v>1</v>
      </c>
      <c r="L29" s="38">
        <f>IFERROR(VLOOKUP($C29,LicencesSep24!$C$2:$AF$27,10,FALSE),0)</f>
        <v>0</v>
      </c>
      <c r="M29" s="38">
        <f>IFERROR(VLOOKUP($C29,LicencesSep24!$C$2:$AF$27,14,FALSE),0)</f>
        <v>0</v>
      </c>
      <c r="N29" s="38">
        <f>IFERROR(VLOOKUP($C29,LicencesSep24!$C$2:$AF$27,11,FALSE),0)</f>
        <v>58</v>
      </c>
      <c r="O29" s="38">
        <f>IFERROR(VLOOKUP($C29,LicencesSep24!$C$2:$AF$27,12,FALSE),0)</f>
        <v>1</v>
      </c>
      <c r="P29" s="38">
        <f>IFERROR(VLOOKUP($C29,LicencesSep24!$C$2:$AF$27,13,FALSE),0)</f>
        <v>194</v>
      </c>
      <c r="Q29" s="38">
        <f>IFERROR(VLOOKUP($C29,LicencesSep24!$C$2:$AF$27,15,FALSE),0)</f>
        <v>10</v>
      </c>
      <c r="R29" s="38">
        <f>IFERROR(VLOOKUP($C29,LicencesSep24!$C$2:$AF$27,16,FALSE),0)</f>
        <v>0</v>
      </c>
      <c r="S29" s="38">
        <f>IFERROR(VLOOKUP($C29,LicencesSep24!$C$2:$AF$27,17,FALSE),0)</f>
        <v>0</v>
      </c>
      <c r="T29" s="38"/>
      <c r="U29" s="38">
        <f>IFERROR(VLOOKUP($C29,LicencesSep24!$C$2:$AF$27,18,FALSE),0)</f>
        <v>70</v>
      </c>
      <c r="V29" s="38">
        <f>IFERROR(VLOOKUP($C29,LicencesSep24!$C$2:$AF$27,19,FALSE),0)</f>
        <v>0</v>
      </c>
      <c r="W29" s="38">
        <f>IFERROR(VLOOKUP($C29,LicencesSep24!$C$2:$AF$27,20,FALSE),0)</f>
        <v>1</v>
      </c>
      <c r="X29" s="38">
        <f>IFERROR(VLOOKUP($C29,LicencesSep24!$C$2:$AF$27,21,FALSE),0)</f>
        <v>0</v>
      </c>
      <c r="Y29" s="38">
        <f>IFERROR(VLOOKUP($C29,LicencesSep24!$C$2:$AF$27,22,FALSE),0)</f>
        <v>5</v>
      </c>
      <c r="Z29" s="38">
        <f>IFERROR(VLOOKUP($C29,LicencesSep24!$C$2:$AF$27,23,FALSE),0)</f>
        <v>3</v>
      </c>
      <c r="AA29" s="38">
        <f>IFERROR(VLOOKUP($C29,LicencesSep24!$C$2:$AF$27,24,FALSE),0)</f>
        <v>0</v>
      </c>
      <c r="AB29" s="38">
        <f>IFERROR(VLOOKUP($C29,LicencesSep24!$C$2:$AF$27,25,FALSE),0)</f>
        <v>0</v>
      </c>
      <c r="AC29" s="38">
        <f>IFERROR(VLOOKUP($C29,LicencesSep24!$C$2:$AF$27,26,FALSE),0)</f>
        <v>6</v>
      </c>
      <c r="AD29" s="38">
        <f>IFERROR(VLOOKUP($C29,LicencesSep24!$C$2:$AF$27,27,FALSE),0)</f>
        <v>2</v>
      </c>
      <c r="AE29" s="38">
        <f>IFERROR(VLOOKUP($C29,LicencesSep24!$C$2:$AF$27,28,FALSE),0)</f>
        <v>0</v>
      </c>
      <c r="AF29" s="38">
        <f>IFERROR(VLOOKUP($C29,LicencesSep24!$C$2:$AF$27,29,FALSE),0)</f>
        <v>49</v>
      </c>
      <c r="AG29" s="38">
        <f>IFERROR(VLOOKUP($C29,LicencesSep24!$C$2:$AF$27,30,FALSE),0)</f>
        <v>0</v>
      </c>
      <c r="AH29" s="38">
        <f>IFERROR(VLOOKUP($C29,#REF!,32,FALSE),0)</f>
        <v>0</v>
      </c>
      <c r="AI29" s="38"/>
      <c r="AJ29" s="39">
        <f t="shared" si="0"/>
        <v>585</v>
      </c>
      <c r="AL29" s="55"/>
      <c r="AM29" s="56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63"/>
    </row>
    <row r="30" spans="2:72" ht="16.5" thickTop="1" thickBot="1">
      <c r="B30" s="11"/>
      <c r="C30" s="12" t="s">
        <v>62</v>
      </c>
      <c r="D30" s="12"/>
      <c r="E30" s="19">
        <f>SUM(Table1321344[AT])</f>
        <v>276</v>
      </c>
      <c r="F30" s="19">
        <f>SUM(Table1321344[BE])</f>
        <v>67</v>
      </c>
      <c r="G30" s="19">
        <f>SUM(Table1321344[BG])</f>
        <v>8</v>
      </c>
      <c r="H30" s="19">
        <f>SUM(Table1321344[CY])</f>
        <v>2</v>
      </c>
      <c r="I30" s="19">
        <f>SUM(Table1321344[CZ])</f>
        <v>43</v>
      </c>
      <c r="J30" s="19">
        <f>SUM(Table1321344[DE])</f>
        <v>442</v>
      </c>
      <c r="K30" s="19">
        <f>SUM(Table1321344[DK])</f>
        <v>129</v>
      </c>
      <c r="L30" s="19">
        <f>SUM(Table1321344[EE])</f>
        <v>19</v>
      </c>
      <c r="M30" s="19">
        <f>SUM(Table1321344[EL])</f>
        <v>20</v>
      </c>
      <c r="N30" s="19">
        <f>SUM(Table1321344[ES])</f>
        <v>299</v>
      </c>
      <c r="O30" s="19">
        <f>SUM(Table1321344[FI])</f>
        <v>10</v>
      </c>
      <c r="P30" s="19">
        <f>SUM(Table1321344[FR])</f>
        <v>338</v>
      </c>
      <c r="Q30" s="19">
        <f>SUM(Table1321344[[HR ]])</f>
        <v>26</v>
      </c>
      <c r="R30" s="19">
        <f>SUM(Table1321344[HU])</f>
        <v>11</v>
      </c>
      <c r="S30" s="19">
        <f>SUM(Table1321344[IE])</f>
        <v>18</v>
      </c>
      <c r="T30" s="19">
        <v>0</v>
      </c>
      <c r="U30" s="19">
        <f>SUM(Table1321344[IT])</f>
        <v>479</v>
      </c>
      <c r="V30" s="19">
        <f>SUM(Table1321344[LT])</f>
        <v>9</v>
      </c>
      <c r="W30" s="19">
        <f>SUM(Table1321344[LU])</f>
        <v>9</v>
      </c>
      <c r="X30" s="19">
        <f>SUM(Table1321344[LV])</f>
        <v>6</v>
      </c>
      <c r="Y30" s="19">
        <f>SUM(Table1321344[MT])</f>
        <v>6</v>
      </c>
      <c r="Z30" s="19">
        <f>SUM(Table1321344[NL])</f>
        <v>101</v>
      </c>
      <c r="AA30" s="19">
        <f>SUM(Table1321344[NO])</f>
        <v>13</v>
      </c>
      <c r="AB30" s="19">
        <f>SUM(Table1321344[PL])</f>
        <v>68</v>
      </c>
      <c r="AC30" s="19">
        <f>SUM(Table1321344[PT])</f>
        <v>34</v>
      </c>
      <c r="AD30" s="19">
        <f>SUM(Table1321344[RO])</f>
        <v>65</v>
      </c>
      <c r="AE30" s="19">
        <f>SUM(Table1321344[SE])</f>
        <v>55</v>
      </c>
      <c r="AF30" s="19">
        <f>SUM(Table1321344[SI])</f>
        <v>60</v>
      </c>
      <c r="AG30" s="19">
        <f>SUM(Table1321344[SK])</f>
        <v>3</v>
      </c>
      <c r="AH30" s="19">
        <f>SUM(Table1321344[GB-NIR])</f>
        <v>0</v>
      </c>
      <c r="AI30" s="19">
        <f>SUM(Table1321344[-])</f>
        <v>0</v>
      </c>
      <c r="AJ30" s="13">
        <f>SUM(AJ4:AJ29)</f>
        <v>2616</v>
      </c>
      <c r="AL30" s="55" t="s">
        <v>147</v>
      </c>
      <c r="AM30" s="56" t="s">
        <v>96</v>
      </c>
      <c r="AN30" s="53">
        <v>0</v>
      </c>
      <c r="AO30" s="53">
        <v>64</v>
      </c>
      <c r="AP30" s="53">
        <v>3</v>
      </c>
      <c r="AQ30" s="53">
        <v>1</v>
      </c>
      <c r="AR30" s="53">
        <v>0</v>
      </c>
      <c r="AS30" s="53">
        <v>0</v>
      </c>
      <c r="AT30" s="53">
        <v>0</v>
      </c>
      <c r="AU30" s="53">
        <v>13</v>
      </c>
      <c r="AV30" s="53">
        <v>2</v>
      </c>
      <c r="AW30" s="53">
        <v>5</v>
      </c>
      <c r="AX30" s="53">
        <v>12</v>
      </c>
      <c r="AY30" s="53">
        <v>0</v>
      </c>
      <c r="AZ30" s="53">
        <v>2</v>
      </c>
      <c r="BA30" s="53">
        <v>2</v>
      </c>
      <c r="BB30" s="53">
        <v>0</v>
      </c>
      <c r="BC30" s="53">
        <v>0</v>
      </c>
      <c r="BD30" s="53">
        <v>0</v>
      </c>
      <c r="BE30" s="53">
        <v>0</v>
      </c>
      <c r="BF30" s="53">
        <v>18</v>
      </c>
      <c r="BG30" s="53">
        <v>0</v>
      </c>
      <c r="BH30" s="53">
        <v>0</v>
      </c>
      <c r="BI30" s="53">
        <v>0</v>
      </c>
      <c r="BJ30" s="53">
        <v>0</v>
      </c>
      <c r="BK30" s="53">
        <v>1</v>
      </c>
      <c r="BL30" s="53">
        <v>2</v>
      </c>
      <c r="BM30" s="53">
        <v>0</v>
      </c>
      <c r="BN30" s="53">
        <v>0</v>
      </c>
      <c r="BO30" s="53">
        <v>0</v>
      </c>
      <c r="BP30" s="53">
        <v>3</v>
      </c>
      <c r="BQ30" s="53">
        <v>0</v>
      </c>
      <c r="BR30" s="63">
        <v>0</v>
      </c>
    </row>
    <row r="31" spans="2:72" ht="15.75" thickTop="1">
      <c r="AL31" s="55" t="s">
        <v>20</v>
      </c>
      <c r="AM31" s="62">
        <v>27</v>
      </c>
      <c r="AN31" s="53">
        <v>19</v>
      </c>
      <c r="AO31" s="53">
        <v>272</v>
      </c>
      <c r="AP31" s="60">
        <v>3</v>
      </c>
      <c r="AQ31" s="60">
        <v>4</v>
      </c>
      <c r="AR31" s="60">
        <v>0</v>
      </c>
      <c r="AS31" s="60">
        <v>1</v>
      </c>
      <c r="AT31" s="60">
        <v>2</v>
      </c>
      <c r="AU31" s="60">
        <v>151</v>
      </c>
      <c r="AV31" s="60">
        <v>0</v>
      </c>
      <c r="AW31" s="60">
        <v>0</v>
      </c>
      <c r="AX31" s="60">
        <v>7</v>
      </c>
      <c r="AY31" s="60">
        <v>4</v>
      </c>
      <c r="AZ31" s="60">
        <v>17</v>
      </c>
      <c r="BA31" s="60">
        <v>48</v>
      </c>
      <c r="BB31" s="60">
        <v>0</v>
      </c>
      <c r="BC31" s="60">
        <v>0</v>
      </c>
      <c r="BD31" s="60">
        <v>0</v>
      </c>
      <c r="BE31" s="60">
        <v>5</v>
      </c>
      <c r="BF31" s="60">
        <v>1</v>
      </c>
      <c r="BG31" s="60">
        <v>0</v>
      </c>
      <c r="BH31" s="60">
        <v>0</v>
      </c>
      <c r="BI31" s="60">
        <v>0</v>
      </c>
      <c r="BJ31" s="60">
        <v>0</v>
      </c>
      <c r="BK31" s="60">
        <v>17</v>
      </c>
      <c r="BL31" s="60">
        <v>1</v>
      </c>
      <c r="BM31" s="60">
        <v>3</v>
      </c>
      <c r="BN31" s="60">
        <v>0</v>
      </c>
      <c r="BO31" s="60">
        <v>1</v>
      </c>
      <c r="BP31" s="60">
        <v>6</v>
      </c>
      <c r="BQ31" s="60">
        <v>1</v>
      </c>
      <c r="BR31" s="61">
        <v>0</v>
      </c>
      <c r="BS31" s="60"/>
      <c r="BT31" s="60"/>
    </row>
    <row r="32" spans="2:72" ht="15.75" thickBot="1">
      <c r="AL32" s="59"/>
      <c r="BR32" s="52"/>
    </row>
    <row r="33" spans="2:70" ht="16.5" thickTop="1" thickBot="1">
      <c r="B33" s="5" t="s">
        <v>63</v>
      </c>
      <c r="C33" s="6"/>
      <c r="D33" s="6"/>
      <c r="E33" s="7"/>
      <c r="F33" s="7"/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9"/>
      <c r="AL33" s="59"/>
      <c r="BR33" s="52"/>
    </row>
    <row r="34" spans="2:70" ht="16.5" thickTop="1" thickBot="1">
      <c r="B34" s="3" t="s">
        <v>91</v>
      </c>
      <c r="C34" s="3" t="s">
        <v>0</v>
      </c>
      <c r="D34" s="3" t="s">
        <v>114</v>
      </c>
      <c r="E34" s="20" t="s">
        <v>35</v>
      </c>
      <c r="F34" s="20" t="s">
        <v>36</v>
      </c>
      <c r="G34" s="20" t="s">
        <v>37</v>
      </c>
      <c r="H34" s="20" t="s">
        <v>39</v>
      </c>
      <c r="I34" s="20" t="s">
        <v>33</v>
      </c>
      <c r="J34" s="20" t="s">
        <v>44</v>
      </c>
      <c r="K34" s="20" t="s">
        <v>40</v>
      </c>
      <c r="L34" s="20" t="s">
        <v>41</v>
      </c>
      <c r="M34" s="20" t="s">
        <v>135</v>
      </c>
      <c r="N34" s="20" t="s">
        <v>59</v>
      </c>
      <c r="O34" s="20" t="s">
        <v>42</v>
      </c>
      <c r="P34" s="20" t="s">
        <v>43</v>
      </c>
      <c r="Q34" s="20" t="s">
        <v>137</v>
      </c>
      <c r="R34" s="20" t="s">
        <v>45</v>
      </c>
      <c r="S34" s="20" t="s">
        <v>47</v>
      </c>
      <c r="T34" s="20" t="s">
        <v>46</v>
      </c>
      <c r="U34" s="20" t="s">
        <v>48</v>
      </c>
      <c r="V34" s="20" t="s">
        <v>50</v>
      </c>
      <c r="W34" s="20" t="s">
        <v>51</v>
      </c>
      <c r="X34" s="20" t="s">
        <v>49</v>
      </c>
      <c r="Y34" s="20" t="s">
        <v>52</v>
      </c>
      <c r="Z34" s="20" t="s">
        <v>53</v>
      </c>
      <c r="AA34" s="20" t="s">
        <v>54</v>
      </c>
      <c r="AB34" s="20" t="s">
        <v>121</v>
      </c>
      <c r="AC34" s="20" t="s">
        <v>55</v>
      </c>
      <c r="AD34" s="20" t="s">
        <v>56</v>
      </c>
      <c r="AE34" s="20" t="s">
        <v>60</v>
      </c>
      <c r="AF34" s="20" t="s">
        <v>58</v>
      </c>
      <c r="AG34" s="20" t="s">
        <v>57</v>
      </c>
      <c r="AH34" s="45" t="s">
        <v>136</v>
      </c>
      <c r="AI34" s="45" t="s">
        <v>161</v>
      </c>
      <c r="AJ34" s="15" t="s">
        <v>61</v>
      </c>
      <c r="AL34" s="58" t="s">
        <v>160</v>
      </c>
      <c r="AM34" s="57" t="s">
        <v>159</v>
      </c>
      <c r="AN34" s="57" t="s">
        <v>158</v>
      </c>
      <c r="AO34" s="57" t="s">
        <v>35</v>
      </c>
      <c r="AP34" s="57" t="s">
        <v>36</v>
      </c>
      <c r="AQ34" s="57" t="s">
        <v>37</v>
      </c>
      <c r="AR34" s="57" t="s">
        <v>39</v>
      </c>
      <c r="AS34" s="57" t="s">
        <v>33</v>
      </c>
      <c r="AT34" s="57" t="s">
        <v>44</v>
      </c>
      <c r="AU34" s="57" t="s">
        <v>40</v>
      </c>
      <c r="AV34" s="57" t="s">
        <v>41</v>
      </c>
      <c r="AW34" s="57" t="s">
        <v>59</v>
      </c>
      <c r="AX34" s="57" t="s">
        <v>42</v>
      </c>
      <c r="AY34" s="57" t="s">
        <v>43</v>
      </c>
      <c r="AZ34" s="57" t="s">
        <v>134</v>
      </c>
      <c r="BA34" s="57" t="s">
        <v>139</v>
      </c>
      <c r="BB34" s="57" t="s">
        <v>38</v>
      </c>
      <c r="BC34" s="57" t="s">
        <v>45</v>
      </c>
      <c r="BD34" s="57" t="s">
        <v>47</v>
      </c>
      <c r="BE34" s="57" t="s">
        <v>48</v>
      </c>
      <c r="BF34" s="57" t="s">
        <v>50</v>
      </c>
      <c r="BG34" s="57" t="s">
        <v>51</v>
      </c>
      <c r="BH34" s="57" t="s">
        <v>49</v>
      </c>
      <c r="BI34" s="57" t="s">
        <v>52</v>
      </c>
      <c r="BJ34" s="57" t="s">
        <v>53</v>
      </c>
      <c r="BK34" s="57" t="s">
        <v>54</v>
      </c>
      <c r="BL34" s="57" t="s">
        <v>121</v>
      </c>
      <c r="BM34" s="57" t="s">
        <v>55</v>
      </c>
      <c r="BN34" s="57" t="s">
        <v>56</v>
      </c>
      <c r="BO34" s="57" t="s">
        <v>60</v>
      </c>
      <c r="BP34" s="57" t="s">
        <v>58</v>
      </c>
      <c r="BQ34" s="57" t="s">
        <v>57</v>
      </c>
      <c r="BR34" s="52"/>
    </row>
    <row r="35" spans="2:70" ht="16.5" thickTop="1" thickBot="1">
      <c r="B35" s="21" t="s">
        <v>1</v>
      </c>
      <c r="C35" s="2" t="s">
        <v>172</v>
      </c>
      <c r="D35" s="23" t="s">
        <v>92</v>
      </c>
      <c r="E35" s="38">
        <f>IFERROR(VLOOKUP($C35,ProductsMar24!$C$3:$AG$27,4,FALSE),0)</f>
        <v>41</v>
      </c>
      <c r="F35" s="38">
        <f>IFERROR(VLOOKUP($C35, ProductsMar24!$C$3:$AG$27,5,FALSE),0)</f>
        <v>19</v>
      </c>
      <c r="G35" s="38">
        <f>IFERROR(VLOOKUP($C35, ProductsMar24!$C$3:$AG$27,6,FALSE),0)</f>
        <v>1</v>
      </c>
      <c r="H35" s="38">
        <f>IFERROR(VLOOKUP($C35, ProductsMar24!$C$3:$AG$27,7,FALSE),0)</f>
        <v>0</v>
      </c>
      <c r="I35" s="38">
        <f>IFERROR(VLOOKUP($C35, ProductsMar24!$C$3:$AG$27,8,FALSE),0)</f>
        <v>0</v>
      </c>
      <c r="J35" s="38">
        <f>IFERROR(VLOOKUP($C35, ProductsMar24!$C$3:$AG$27,9,FALSE),0)</f>
        <v>88</v>
      </c>
      <c r="K35" s="38">
        <f>IFERROR(VLOOKUP($C35, ProductsMar24!$C$3:$AG$27,10,FALSE),0)</f>
        <v>41</v>
      </c>
      <c r="L35" s="38">
        <f>IFERROR(VLOOKUP($C35, ProductsMar24!$C$3:$AG$27,11,FALSE),0)</f>
        <v>151</v>
      </c>
      <c r="M35" s="38">
        <f>IFERROR(VLOOKUP($C35, ProductsMar24!$C$3:$AG$27,15,FALSE),0)</f>
        <v>0</v>
      </c>
      <c r="N35" s="38">
        <f>IFERROR(VLOOKUP($C35, ProductsMar24!$C$3:$AG$27,12,FALSE),0)</f>
        <v>48</v>
      </c>
      <c r="O35" s="38">
        <f>IFERROR(VLOOKUP($C35, ProductsMar24!$C$3:$AG$27,13,FALSE),0)</f>
        <v>0</v>
      </c>
      <c r="P35" s="38">
        <f>IFERROR(VLOOKUP($C35, ProductsMar24!$C$3:$AG$27,14,FALSE),0)</f>
        <v>60</v>
      </c>
      <c r="Q35" s="38">
        <f>IFERROR(VLOOKUP($C35, ProductsMar24!$C$3:$AG$27,16,FALSE),0)</f>
        <v>2</v>
      </c>
      <c r="R35" s="38">
        <f>IFERROR(VLOOKUP($C35, ProductsMar24!$C$3:$AG$27,17,FALSE),0)</f>
        <v>0</v>
      </c>
      <c r="S35" s="38">
        <f>IFERROR(VLOOKUP($C35, ProductsMar24!$C$3:$AG$27,18,FALSE),0)</f>
        <v>34</v>
      </c>
      <c r="T35" s="38"/>
      <c r="U35" s="38">
        <f>IFERROR(VLOOKUP($C35, ProductsMar24!$C$3:$AG$27,19,FALSE),0)</f>
        <v>257</v>
      </c>
      <c r="V35" s="38">
        <f>IFERROR(VLOOKUP($C35, ProductsMar24!$C$3:$AG$27,20,FALSE),0)</f>
        <v>0</v>
      </c>
      <c r="W35" s="38">
        <f>IFERROR(VLOOKUP($C35, ProductsMar24!$C$3:$AG$27,21,FALSE),0)</f>
        <v>0</v>
      </c>
      <c r="X35" s="38">
        <f>IFERROR(VLOOKUP($C35, ProductsMar24!$C$3:$AG$27,22,FALSE),0)</f>
        <v>0</v>
      </c>
      <c r="Y35" s="38">
        <f>IFERROR(VLOOKUP($C35, ProductsMar24!$C$3:$AG$27,23,FALSE),0)</f>
        <v>0</v>
      </c>
      <c r="Z35" s="38">
        <f>IFERROR(VLOOKUP($C35, ProductsMar24!$C$3:$AG$27,24,FALSE),0)</f>
        <v>81</v>
      </c>
      <c r="AA35" s="38">
        <f>IFERROR(VLOOKUP($C35, ProductsMar24!$C$3:$AG$27,25,FALSE),0)</f>
        <v>0</v>
      </c>
      <c r="AB35" s="38">
        <f>IFERROR(VLOOKUP($C35, ProductsMar24!$C$3:$AG$27,26,FALSE),0)</f>
        <v>11</v>
      </c>
      <c r="AC35" s="38">
        <f>IFERROR(VLOOKUP($C35, ProductsMar24!$C$3:$AG$27,27,FALSE),0)</f>
        <v>80</v>
      </c>
      <c r="AD35" s="38">
        <f>IFERROR(VLOOKUP($C35, ProductsMar24!$C$3:$AG$27,28,FALSE),0)</f>
        <v>5</v>
      </c>
      <c r="AE35" s="38">
        <f>IFERROR(VLOOKUP($C35, ProductsMar24!$C$3:$AG$27,29,FALSE),0)</f>
        <v>67</v>
      </c>
      <c r="AF35" s="38">
        <f>IFERROR(VLOOKUP($C35, ProductsMar24!$C$3:$AG$27,30,FALSE),0)</f>
        <v>2</v>
      </c>
      <c r="AG35" s="38">
        <f>IFERROR(VLOOKUP($C35, ProductsMar24!$C$3:$AG$27,31,FALSE),0)</f>
        <v>0</v>
      </c>
      <c r="AH35" s="38"/>
      <c r="AI35" s="38"/>
      <c r="AJ35" s="13">
        <f t="shared" ref="AJ35:AJ60" si="1">SUM(E35:AI35)</f>
        <v>988</v>
      </c>
      <c r="AL35" s="55" t="s">
        <v>11</v>
      </c>
      <c r="AM35" s="56" t="s">
        <v>101</v>
      </c>
      <c r="AN35" s="53">
        <v>210</v>
      </c>
      <c r="AO35" s="53">
        <v>1</v>
      </c>
      <c r="AP35" s="53">
        <v>0</v>
      </c>
      <c r="AQ35" s="53">
        <v>0</v>
      </c>
      <c r="AR35" s="53">
        <v>0</v>
      </c>
      <c r="AS35" s="53">
        <v>0</v>
      </c>
      <c r="AT35" s="53">
        <v>0</v>
      </c>
      <c r="AU35" s="53">
        <v>0</v>
      </c>
      <c r="AV35" s="53">
        <v>0</v>
      </c>
      <c r="AW35" s="53">
        <v>27</v>
      </c>
      <c r="AX35" s="53">
        <v>10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0</v>
      </c>
      <c r="BE35" s="53">
        <v>48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0</v>
      </c>
      <c r="BL35" s="53">
        <v>0</v>
      </c>
      <c r="BM35" s="53">
        <v>0</v>
      </c>
      <c r="BN35" s="53">
        <v>0</v>
      </c>
      <c r="BO35" s="53">
        <v>124</v>
      </c>
      <c r="BP35" s="53">
        <v>0</v>
      </c>
      <c r="BQ35" s="53">
        <v>0</v>
      </c>
      <c r="BR35" s="52"/>
    </row>
    <row r="36" spans="2:70" ht="16.5" thickTop="1" thickBot="1">
      <c r="B36" s="21" t="s">
        <v>1</v>
      </c>
      <c r="C36" s="2" t="s">
        <v>228</v>
      </c>
      <c r="D36" s="23" t="s">
        <v>93</v>
      </c>
      <c r="E36" s="38">
        <f>IFERROR(VLOOKUP($C36,ProductsMar24!$C$3:$AG$27,4,FALSE),0)</f>
        <v>0</v>
      </c>
      <c r="F36" s="38">
        <f>IFERROR(VLOOKUP($C36, ProductsMar24!$C$3:$AG$27,5,FALSE),0)</f>
        <v>0</v>
      </c>
      <c r="G36" s="38">
        <f>IFERROR(VLOOKUP($C36, ProductsMar24!$C$3:$AG$27,6,FALSE),0)</f>
        <v>0</v>
      </c>
      <c r="H36" s="38">
        <f>IFERROR(VLOOKUP($C36, ProductsMar24!$C$3:$AG$27,7,FALSE),0)</f>
        <v>0</v>
      </c>
      <c r="I36" s="38">
        <f>IFERROR(VLOOKUP($C36, ProductsMar24!$C$3:$AG$27,8,FALSE),0)</f>
        <v>197</v>
      </c>
      <c r="J36" s="38">
        <f>IFERROR(VLOOKUP($C36, ProductsMar24!$C$3:$AG$27,9,FALSE),0)</f>
        <v>19</v>
      </c>
      <c r="K36" s="38">
        <f>IFERROR(VLOOKUP($C36, ProductsMar24!$C$3:$AG$27,10,FALSE),0)</f>
        <v>147</v>
      </c>
      <c r="L36" s="38">
        <f>IFERROR(VLOOKUP($C36, ProductsMar24!$C$3:$AG$27,11,FALSE),0)</f>
        <v>0</v>
      </c>
      <c r="M36" s="38">
        <f>IFERROR(VLOOKUP($C36, ProductsMar24!$C$3:$AG$27,15,FALSE),0)</f>
        <v>0</v>
      </c>
      <c r="N36" s="38">
        <f>IFERROR(VLOOKUP($C36, ProductsMar24!$C$3:$AG$27,12,FALSE),0)</f>
        <v>34</v>
      </c>
      <c r="O36" s="38">
        <f>IFERROR(VLOOKUP($C36, ProductsMar24!$C$3:$AG$27,13,FALSE),0)</f>
        <v>14</v>
      </c>
      <c r="P36" s="38">
        <f>IFERROR(VLOOKUP($C36, ProductsMar24!$C$3:$AG$27,14,FALSE),0)</f>
        <v>0</v>
      </c>
      <c r="Q36" s="38">
        <f>IFERROR(VLOOKUP($C36, ProductsMar24!$C$3:$AG$27,16,FALSE),0)</f>
        <v>0</v>
      </c>
      <c r="R36" s="38">
        <f>IFERROR(VLOOKUP($C36, ProductsMar24!$C$3:$AG$27,17,FALSE),0)</f>
        <v>0</v>
      </c>
      <c r="S36" s="38">
        <f>IFERROR(VLOOKUP($C36, ProductsMar24!$C$3:$AG$27,18,FALSE),0)</f>
        <v>0</v>
      </c>
      <c r="T36" s="38"/>
      <c r="U36" s="38">
        <f>IFERROR(VLOOKUP($C36, ProductsMar24!$C$3:$AG$27,19,FALSE),0)</f>
        <v>48</v>
      </c>
      <c r="V36" s="38">
        <f>IFERROR(VLOOKUP($C36, ProductsMar24!$C$3:$AG$27,20,FALSE),0)</f>
        <v>0</v>
      </c>
      <c r="W36" s="38">
        <f>IFERROR(VLOOKUP($C36, ProductsMar24!$C$3:$AG$27,21,FALSE),0)</f>
        <v>0</v>
      </c>
      <c r="X36" s="38">
        <f>IFERROR(VLOOKUP($C36, ProductsMar24!$C$3:$AG$27,22,FALSE),0)</f>
        <v>0</v>
      </c>
      <c r="Y36" s="38">
        <f>IFERROR(VLOOKUP($C36, ProductsMar24!$C$3:$AG$27,23,FALSE),0)</f>
        <v>0</v>
      </c>
      <c r="Z36" s="38">
        <f>IFERROR(VLOOKUP($C36, ProductsMar24!$C$3:$AG$27,24,FALSE),0)</f>
        <v>0</v>
      </c>
      <c r="AA36" s="38">
        <f>IFERROR(VLOOKUP($C36, ProductsMar24!$C$3:$AG$27,25,FALSE),0)</f>
        <v>0</v>
      </c>
      <c r="AB36" s="38">
        <f>IFERROR(VLOOKUP($C36, ProductsMar24!$C$3:$AG$27,26,FALSE),0)</f>
        <v>0</v>
      </c>
      <c r="AC36" s="38">
        <f>IFERROR(VLOOKUP($C36, ProductsMar24!$C$3:$AG$27,27,FALSE),0)</f>
        <v>0</v>
      </c>
      <c r="AD36" s="38">
        <f>IFERROR(VLOOKUP($C36, ProductsMar24!$C$3:$AG$27,28,FALSE),0)</f>
        <v>0</v>
      </c>
      <c r="AE36" s="38">
        <f>IFERROR(VLOOKUP($C36, ProductsMar24!$C$3:$AG$27,29,FALSE),0)</f>
        <v>173</v>
      </c>
      <c r="AF36" s="38">
        <f>IFERROR(VLOOKUP($C36, ProductsMar24!$C$3:$AG$27,30,FALSE),0)</f>
        <v>0</v>
      </c>
      <c r="AG36" s="38">
        <f>IFERROR(VLOOKUP($C36, ProductsMar24!$C$3:$AG$27,31,FALSE),0)</f>
        <v>0</v>
      </c>
      <c r="AH36" s="38"/>
      <c r="AI36" s="38"/>
      <c r="AJ36" s="13">
        <f t="shared" si="1"/>
        <v>632</v>
      </c>
      <c r="AL36" s="55"/>
      <c r="AM36" s="56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2"/>
    </row>
    <row r="37" spans="2:70" ht="16.5" thickTop="1" thickBot="1">
      <c r="B37" s="21" t="s">
        <v>1</v>
      </c>
      <c r="C37" s="2" t="s">
        <v>229</v>
      </c>
      <c r="D37" s="108" t="s">
        <v>93</v>
      </c>
      <c r="E37" s="38">
        <f>IFERROR(VLOOKUP($C37,ProductsMar24!$C$3:$AG$27,4,FALSE),0)</f>
        <v>0</v>
      </c>
      <c r="F37" s="38">
        <f>IFERROR(VLOOKUP($C37, ProductsMar24!$C$3:$AG$27,5,FALSE),0)</f>
        <v>0</v>
      </c>
      <c r="G37" s="38">
        <f>IFERROR(VLOOKUP($C37, ProductsMar24!$C$3:$AG$27,6,FALSE),0)</f>
        <v>0</v>
      </c>
      <c r="H37" s="38">
        <f>IFERROR(VLOOKUP($C37, ProductsMar24!$C$3:$AG$27,7,FALSE),0)</f>
        <v>0</v>
      </c>
      <c r="I37" s="38">
        <f>IFERROR(VLOOKUP($C37, ProductsMar24!$C$3:$AG$27,8,FALSE),0)</f>
        <v>0</v>
      </c>
      <c r="J37" s="38">
        <f>IFERROR(VLOOKUP($C37, ProductsMar24!$C$3:$AG$27,9,FALSE),0)</f>
        <v>0</v>
      </c>
      <c r="K37" s="38">
        <f>IFERROR(VLOOKUP($C37, ProductsMar24!$C$3:$AG$27,10,FALSE),0)</f>
        <v>0</v>
      </c>
      <c r="L37" s="38">
        <f>IFERROR(VLOOKUP($C37, ProductsMar24!$C$3:$AG$27,11,FALSE),0)</f>
        <v>0</v>
      </c>
      <c r="M37" s="38">
        <f>IFERROR(VLOOKUP($C37, ProductsMar24!$C$3:$AG$27,15,FALSE),0)</f>
        <v>0</v>
      </c>
      <c r="N37" s="38">
        <f>IFERROR(VLOOKUP($C37, ProductsMar24!$C$3:$AG$27,12,FALSE),0)</f>
        <v>0</v>
      </c>
      <c r="O37" s="38">
        <f>IFERROR(VLOOKUP($C37, ProductsMar24!$C$3:$AG$27,13,FALSE),0)</f>
        <v>0</v>
      </c>
      <c r="P37" s="38">
        <f>IFERROR(VLOOKUP($C37, ProductsMar24!$C$3:$AG$27,14,FALSE),0)</f>
        <v>0</v>
      </c>
      <c r="Q37" s="38">
        <f>IFERROR(VLOOKUP($C37, ProductsMar24!$C$3:$AG$27,16,FALSE),0)</f>
        <v>0</v>
      </c>
      <c r="R37" s="38">
        <f>IFERROR(VLOOKUP($C37, ProductsMar24!$C$3:$AG$27,17,FALSE),0)</f>
        <v>0</v>
      </c>
      <c r="S37" s="38">
        <f>IFERROR(VLOOKUP($C37, ProductsMar24!$C$3:$AG$27,18,FALSE),0)</f>
        <v>0</v>
      </c>
      <c r="T37" s="38">
        <v>0</v>
      </c>
      <c r="U37" s="38">
        <f>IFERROR(VLOOKUP($C37, ProductsMar24!$C$3:$AG$27,19,FALSE),0)</f>
        <v>0</v>
      </c>
      <c r="V37" s="38">
        <f>IFERROR(VLOOKUP($C37, ProductsMar24!$C$3:$AG$27,20,FALSE),0)</f>
        <v>0</v>
      </c>
      <c r="W37" s="38">
        <f>IFERROR(VLOOKUP($C37, ProductsMar24!$C$3:$AG$27,21,FALSE),0)</f>
        <v>0</v>
      </c>
      <c r="X37" s="38">
        <f>IFERROR(VLOOKUP($C37, ProductsMar24!$C$3:$AG$27,22,FALSE),0)</f>
        <v>0</v>
      </c>
      <c r="Y37" s="38">
        <f>IFERROR(VLOOKUP($C37, ProductsMar24!$C$3:$AG$27,23,FALSE),0)</f>
        <v>0</v>
      </c>
      <c r="Z37" s="38">
        <f>IFERROR(VLOOKUP($C37, ProductsMar24!$C$3:$AG$27,24,FALSE),0)</f>
        <v>0</v>
      </c>
      <c r="AA37" s="38">
        <f>IFERROR(VLOOKUP($C37, ProductsMar24!$C$3:$AG$27,25,FALSE),0)</f>
        <v>0</v>
      </c>
      <c r="AB37" s="38">
        <f>IFERROR(VLOOKUP($C37, ProductsMar24!$C$3:$AG$27,26,FALSE),0)</f>
        <v>0</v>
      </c>
      <c r="AC37" s="38">
        <f>IFERROR(VLOOKUP($C37, ProductsMar24!$C$3:$AG$27,27,FALSE),0)</f>
        <v>0</v>
      </c>
      <c r="AD37" s="38">
        <f>IFERROR(VLOOKUP($C37, ProductsMar24!$C$3:$AG$27,28,FALSE),0)</f>
        <v>0</v>
      </c>
      <c r="AE37" s="38">
        <f>IFERROR(VLOOKUP($C37, ProductsMar24!$C$3:$AG$27,29,FALSE),0)</f>
        <v>0</v>
      </c>
      <c r="AF37" s="38">
        <f>IFERROR(VLOOKUP($C37, ProductsMar24!$C$3:$AG$27,30,FALSE),0)</f>
        <v>0</v>
      </c>
      <c r="AG37" s="38">
        <f>IFERROR(VLOOKUP($C37, ProductsMar24!$C$3:$AG$27,31,FALSE),0)</f>
        <v>0</v>
      </c>
      <c r="AH37" s="38"/>
      <c r="AI37" s="38"/>
      <c r="AJ37" s="13">
        <f t="shared" si="1"/>
        <v>0</v>
      </c>
      <c r="AL37" s="55" t="s">
        <v>26</v>
      </c>
      <c r="AM37" s="56" t="s">
        <v>157</v>
      </c>
      <c r="AN37" s="53">
        <v>67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2</v>
      </c>
      <c r="AX37" s="53">
        <v>0</v>
      </c>
      <c r="AY37" s="53">
        <v>0</v>
      </c>
      <c r="AZ37" s="53">
        <v>0</v>
      </c>
      <c r="BA37" s="53">
        <v>0</v>
      </c>
      <c r="BB37" s="53">
        <v>0</v>
      </c>
      <c r="BC37" s="53">
        <v>0</v>
      </c>
      <c r="BD37" s="53">
        <v>0</v>
      </c>
      <c r="BE37" s="53">
        <v>60</v>
      </c>
      <c r="BF37" s="53">
        <v>0</v>
      </c>
      <c r="BG37" s="53">
        <v>0</v>
      </c>
      <c r="BH37" s="53">
        <v>0</v>
      </c>
      <c r="BI37" s="53">
        <v>0</v>
      </c>
      <c r="BJ37" s="53">
        <v>0</v>
      </c>
      <c r="BK37" s="53">
        <v>0</v>
      </c>
      <c r="BL37" s="53">
        <v>1</v>
      </c>
      <c r="BM37" s="53">
        <v>4</v>
      </c>
      <c r="BN37" s="53">
        <v>0</v>
      </c>
      <c r="BO37" s="53">
        <v>0</v>
      </c>
      <c r="BP37" s="53">
        <v>0</v>
      </c>
      <c r="BQ37" s="53">
        <v>0</v>
      </c>
      <c r="BR37" s="52"/>
    </row>
    <row r="38" spans="2:70" ht="16.5" thickTop="1" thickBot="1">
      <c r="B38" s="21" t="s">
        <v>1</v>
      </c>
      <c r="C38" s="107" t="s">
        <v>226</v>
      </c>
      <c r="D38" s="108" t="s">
        <v>227</v>
      </c>
      <c r="E38" s="38">
        <f>IFERROR(VLOOKUP($C38,ProductsMar24!$C$3:$AG$27,4,FALSE),0)</f>
        <v>0</v>
      </c>
      <c r="F38" s="38">
        <f>IFERROR(VLOOKUP($C38,#REF!,5,FALSE),0)</f>
        <v>0</v>
      </c>
      <c r="G38" s="38">
        <f>IFERROR(VLOOKUP($C38, ProductsMar24!$C$3:$AG$27,6,FALSE),0)</f>
        <v>0</v>
      </c>
      <c r="H38" s="38">
        <f>IFERROR(VLOOKUP($C38,#REF!,7,FALSE),0)</f>
        <v>0</v>
      </c>
      <c r="I38" s="38">
        <f>IFERROR(VLOOKUP($C38,#REF!,8,FALSE),0)</f>
        <v>0</v>
      </c>
      <c r="J38" s="38">
        <f>IFERROR(VLOOKUP($C38,#REF!,9,FALSE),0)</f>
        <v>0</v>
      </c>
      <c r="K38" s="38">
        <f>IFERROR(VLOOKUP($C38,#REF!,10,FALSE),0)</f>
        <v>0</v>
      </c>
      <c r="L38" s="38">
        <f>IFERROR(VLOOKUP($C38,#REF!,11,FALSE),0)</f>
        <v>0</v>
      </c>
      <c r="M38" s="38">
        <f>IFERROR(VLOOKUP($C38,#REF!,15,FALSE),0)</f>
        <v>0</v>
      </c>
      <c r="N38" s="38">
        <f>IFERROR(VLOOKUP($C38,#REF!,12,FALSE),0)</f>
        <v>0</v>
      </c>
      <c r="O38" s="38">
        <f>IFERROR(VLOOKUP($C38,#REF!,13,FALSE),0)</f>
        <v>0</v>
      </c>
      <c r="P38" s="38">
        <f>IFERROR(VLOOKUP($C38,#REF!,14,FALSE),0)</f>
        <v>0</v>
      </c>
      <c r="Q38" s="38">
        <f>IFERROR(VLOOKUP($C38,#REF!,16,FALSE),0)</f>
        <v>0</v>
      </c>
      <c r="R38" s="38">
        <f>IFERROR(VLOOKUP($C38,#REF!,17,FALSE),0)</f>
        <v>0</v>
      </c>
      <c r="S38" s="38">
        <f>IFERROR(VLOOKUP($C38,#REF!,18,FALSE),0)</f>
        <v>0</v>
      </c>
      <c r="T38" s="38"/>
      <c r="U38" s="38">
        <f>IFERROR(VLOOKUP($C38,#REF!,19,FALSE),0)</f>
        <v>0</v>
      </c>
      <c r="V38" s="38">
        <f>IFERROR(VLOOKUP($C38,#REF!,20,FALSE),0)</f>
        <v>0</v>
      </c>
      <c r="W38" s="38">
        <f>IFERROR(VLOOKUP($C38,#REF!,21,FALSE),0)</f>
        <v>0</v>
      </c>
      <c r="X38" s="38">
        <f>IFERROR(VLOOKUP($C38,#REF!,22,FALSE),0)</f>
        <v>0</v>
      </c>
      <c r="Y38" s="38">
        <f>IFERROR(VLOOKUP($C38,#REF!,23,FALSE),0)</f>
        <v>0</v>
      </c>
      <c r="Z38" s="38">
        <f>IFERROR(VLOOKUP($C38,#REF!,24,FALSE),0)</f>
        <v>0</v>
      </c>
      <c r="AA38" s="38">
        <f>IFERROR(VLOOKUP($C38,#REF!,25,FALSE),0)</f>
        <v>0</v>
      </c>
      <c r="AB38" s="38">
        <f>IFERROR(VLOOKUP($C38,#REF!,26,FALSE),0)</f>
        <v>0</v>
      </c>
      <c r="AC38" s="38">
        <f>IFERROR(VLOOKUP($C38,#REF!,27,FALSE),0)</f>
        <v>0</v>
      </c>
      <c r="AD38" s="38">
        <f>IFERROR(VLOOKUP($C38,#REF!,28,FALSE),0)</f>
        <v>0</v>
      </c>
      <c r="AE38" s="38">
        <f>IFERROR(VLOOKUP($C38,#REF!,29,FALSE),0)</f>
        <v>0</v>
      </c>
      <c r="AF38" s="38">
        <f>IFERROR(VLOOKUP($C38,#REF!,30,FALSE),0)</f>
        <v>0</v>
      </c>
      <c r="AG38" s="38">
        <f>IFERROR(VLOOKUP($C38, ProductsMar24!$C$3:$AG$27,31,FALSE),0)</f>
        <v>0</v>
      </c>
      <c r="AH38" s="38">
        <f>IFERROR(VLOOKUP($C38,#REF!,4,FALSE),0)</f>
        <v>0</v>
      </c>
      <c r="AI38" s="38"/>
      <c r="AJ38" s="13"/>
      <c r="AL38" s="55"/>
      <c r="AM38" s="56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2"/>
    </row>
    <row r="39" spans="2:70" ht="16.5" thickTop="1" thickBot="1">
      <c r="B39" s="21" t="s">
        <v>1</v>
      </c>
      <c r="C39" s="76" t="s">
        <v>171</v>
      </c>
      <c r="D39" s="77" t="s">
        <v>170</v>
      </c>
      <c r="E39" s="38">
        <f>IFERROR(VLOOKUP($C39,ProductsMar24!$C$3:$AG$27,4,FALSE),0)</f>
        <v>0</v>
      </c>
      <c r="F39" s="38">
        <f>IFERROR(VLOOKUP($C39, ProductsMar24!$C$3:$AG$27,5,FALSE),0)</f>
        <v>0</v>
      </c>
      <c r="G39" s="38">
        <f>IFERROR(VLOOKUP($C39, ProductsMar24!$C$3:$AG$27,6,FALSE),0)</f>
        <v>0</v>
      </c>
      <c r="H39" s="38">
        <f>IFERROR(VLOOKUP($C39, ProductsMar24!$C$3:$AG$27,7,FALSE),0)</f>
        <v>0</v>
      </c>
      <c r="I39" s="38">
        <f>IFERROR(VLOOKUP($C39, ProductsMar24!$C$3:$AG$27,8,FALSE),0)</f>
        <v>0</v>
      </c>
      <c r="J39" s="38">
        <f>IFERROR(VLOOKUP($C39, ProductsMar24!$C$3:$AG$27,9,FALSE),0)</f>
        <v>0</v>
      </c>
      <c r="K39" s="38">
        <f>IFERROR(VLOOKUP($C39, ProductsMar24!$C$3:$AG$27,10,FALSE),0)</f>
        <v>0</v>
      </c>
      <c r="L39" s="38">
        <f>IFERROR(VLOOKUP($C39, ProductsMar24!$C$3:$AG$27,11,FALSE),0)</f>
        <v>0</v>
      </c>
      <c r="M39" s="38">
        <f>IFERROR(VLOOKUP($C39, ProductsMar24!$C$3:$AG$27,15,FALSE),0)</f>
        <v>0</v>
      </c>
      <c r="N39" s="38">
        <f>IFERROR(VLOOKUP($C39, ProductsMar24!$C$3:$AG$27,12,FALSE),0)</f>
        <v>0</v>
      </c>
      <c r="O39" s="38">
        <f>IFERROR(VLOOKUP($C39, ProductsMar24!$C$3:$AG$27,13,FALSE),0)</f>
        <v>0</v>
      </c>
      <c r="P39" s="38">
        <f>IFERROR(VLOOKUP($C39, ProductsMar24!$C$3:$AG$27,14,FALSE),0)</f>
        <v>0</v>
      </c>
      <c r="Q39" s="38">
        <f>IFERROR(VLOOKUP($C39, ProductsMar24!$C$3:$AG$27,16,FALSE),0)</f>
        <v>0</v>
      </c>
      <c r="R39" s="38">
        <f>IFERROR(VLOOKUP($C39, ProductsMar24!$C$3:$AG$27,17,FALSE),0)</f>
        <v>0</v>
      </c>
      <c r="S39" s="38">
        <f>IFERROR(VLOOKUP($C39, ProductsMar24!$C$3:$AG$27,18,FALSE),0)</f>
        <v>0</v>
      </c>
      <c r="T39" s="38"/>
      <c r="U39" s="38">
        <f>IFERROR(VLOOKUP($C39, ProductsMar24!$C$3:$AG$27,19,FALSE),0)</f>
        <v>0</v>
      </c>
      <c r="V39" s="38">
        <f>IFERROR(VLOOKUP($C39, ProductsMar24!$C$3:$AG$27,20,FALSE),0)</f>
        <v>0</v>
      </c>
      <c r="W39" s="38">
        <f>IFERROR(VLOOKUP($C39, ProductsMar24!$C$3:$AG$27,21,FALSE),0)</f>
        <v>0</v>
      </c>
      <c r="X39" s="38">
        <f>IFERROR(VLOOKUP($C39, ProductsMar24!$C$3:$AG$27,22,FALSE),0)</f>
        <v>0</v>
      </c>
      <c r="Y39" s="38">
        <f>IFERROR(VLOOKUP($C39, ProductsMar24!$C$3:$AG$27,23,FALSE),0)</f>
        <v>0</v>
      </c>
      <c r="Z39" s="38">
        <f>IFERROR(VLOOKUP($C39, ProductsMar24!$C$3:$AG$27,24,FALSE),0)</f>
        <v>0</v>
      </c>
      <c r="AA39" s="38">
        <f>IFERROR(VLOOKUP($C39, ProductsMar24!$C$3:$AG$27,25,FALSE),0)</f>
        <v>0</v>
      </c>
      <c r="AB39" s="38">
        <f>IFERROR(VLOOKUP($C39, ProductsMar24!$C$3:$AG$27,26,FALSE),0)</f>
        <v>0</v>
      </c>
      <c r="AC39" s="38">
        <f>IFERROR(VLOOKUP($C39, ProductsMar24!$C$3:$AG$27,27,FALSE),0)</f>
        <v>0</v>
      </c>
      <c r="AD39" s="38">
        <f>IFERROR(VLOOKUP($C39, ProductsMar24!$C$3:$AG$27,28,FALSE),0)</f>
        <v>0</v>
      </c>
      <c r="AE39" s="38">
        <f>IFERROR(VLOOKUP($C39, ProductsMar24!$C$3:$AG$27,29,FALSE),0)</f>
        <v>0</v>
      </c>
      <c r="AF39" s="38">
        <f>IFERROR(VLOOKUP($C39, ProductsMar24!$C$3:$AG$27,30,FALSE),0)</f>
        <v>0</v>
      </c>
      <c r="AG39" s="38">
        <f>IFERROR(VLOOKUP($C39, ProductsMar24!$C$3:$AG$27,31,FALSE),0)</f>
        <v>0</v>
      </c>
      <c r="AH39" s="38"/>
      <c r="AI39" s="38"/>
      <c r="AJ39" s="13">
        <f t="shared" si="1"/>
        <v>0</v>
      </c>
      <c r="AL39" s="55"/>
      <c r="AM39" s="56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2"/>
    </row>
    <row r="40" spans="2:70" ht="16.5" thickTop="1" thickBot="1">
      <c r="B40" s="21" t="s">
        <v>3</v>
      </c>
      <c r="C40" s="2" t="s">
        <v>119</v>
      </c>
      <c r="D40" s="23" t="s">
        <v>94</v>
      </c>
      <c r="E40" s="38">
        <f>IFERROR(VLOOKUP($C40,ProductsMar24!$C$3:$AG$27,4,FALSE),0)</f>
        <v>152</v>
      </c>
      <c r="F40" s="38">
        <f>IFERROR(VLOOKUP($C40, ProductsMar24!$C$3:$AG$27,5,FALSE),0)</f>
        <v>849</v>
      </c>
      <c r="G40" s="38">
        <f>IFERROR(VLOOKUP($C40, ProductsMar24!$C$3:$AG$27,6,FALSE),0)</f>
        <v>7</v>
      </c>
      <c r="H40" s="38">
        <f>IFERROR(VLOOKUP($C40, ProductsMar24!$C$3:$AG$27,7,FALSE),0)</f>
        <v>0</v>
      </c>
      <c r="I40" s="38">
        <f>IFERROR(VLOOKUP($C40, ProductsMar24!$C$3:$AG$27,8,FALSE),0)</f>
        <v>21</v>
      </c>
      <c r="J40" s="38">
        <f>IFERROR(VLOOKUP($C40, ProductsMar24!$C$3:$AG$27,9,FALSE),0)</f>
        <v>215</v>
      </c>
      <c r="K40" s="38">
        <f>IFERROR(VLOOKUP($C40, ProductsMar24!$C$3:$AG$27,10,FALSE),0)</f>
        <v>239</v>
      </c>
      <c r="L40" s="38">
        <f>IFERROR(VLOOKUP($C40, ProductsMar24!$C$3:$AG$27,11,FALSE),0)</f>
        <v>177</v>
      </c>
      <c r="M40" s="38">
        <f>IFERROR(VLOOKUP($C40, ProductsMar24!$C$3:$AG$27,15,FALSE),0)</f>
        <v>0</v>
      </c>
      <c r="N40" s="38">
        <f>IFERROR(VLOOKUP($C40, ProductsMar24!$C$3:$AG$27,12,FALSE),0)</f>
        <v>482</v>
      </c>
      <c r="O40" s="38">
        <f>IFERROR(VLOOKUP($C40, ProductsMar24!$C$3:$AG$27,13,FALSE),0)</f>
        <v>56</v>
      </c>
      <c r="P40" s="38">
        <f>IFERROR(VLOOKUP($C40, ProductsMar24!$C$3:$AG$27,14,FALSE),0)</f>
        <v>550</v>
      </c>
      <c r="Q40" s="38">
        <f>IFERROR(VLOOKUP($C40, ProductsMar24!$C$3:$AG$27,16,FALSE),0)</f>
        <v>15</v>
      </c>
      <c r="R40" s="38">
        <f>IFERROR(VLOOKUP($C40, ProductsMar24!$C$3:$AG$27,17,FALSE),0)</f>
        <v>32</v>
      </c>
      <c r="S40" s="38">
        <f>IFERROR(VLOOKUP($C40, ProductsMar24!$C$3:$AG$27,18,FALSE),0)</f>
        <v>35</v>
      </c>
      <c r="T40" s="38">
        <v>0</v>
      </c>
      <c r="U40" s="38">
        <f>IFERROR(VLOOKUP($C40, ProductsMar24!$C$3:$AG$27,19,FALSE),0)</f>
        <v>2014</v>
      </c>
      <c r="V40" s="38">
        <f>IFERROR(VLOOKUP($C40, ProductsMar24!$C$3:$AG$27,20,FALSE),0)</f>
        <v>3</v>
      </c>
      <c r="W40" s="38">
        <f>IFERROR(VLOOKUP($C40, ProductsMar24!$C$3:$AG$27,21,FALSE),0)</f>
        <v>10</v>
      </c>
      <c r="X40" s="38">
        <f>IFERROR(VLOOKUP($C40, ProductsMar24!$C$3:$AG$27,22,FALSE),0)</f>
        <v>44</v>
      </c>
      <c r="Y40" s="38">
        <f>IFERROR(VLOOKUP($C40, ProductsMar24!$C$3:$AG$27,23,FALSE),0)</f>
        <v>13</v>
      </c>
      <c r="Z40" s="38">
        <f>IFERROR(VLOOKUP($C40, ProductsMar24!$C$3:$AG$27,24,FALSE),0)</f>
        <v>440</v>
      </c>
      <c r="AA40" s="38">
        <f>IFERROR(VLOOKUP($C40, ProductsMar24!$C$3:$AG$27,25,FALSE),0)</f>
        <v>0</v>
      </c>
      <c r="AB40" s="38">
        <f>IFERROR(VLOOKUP($C40, ProductsMar24!$C$3:$AG$27,26,FALSE),0)</f>
        <v>149</v>
      </c>
      <c r="AC40" s="38">
        <f>IFERROR(VLOOKUP($C40, ProductsMar24!$C$3:$AG$27,27,FALSE),0)</f>
        <v>72</v>
      </c>
      <c r="AD40" s="38">
        <f>IFERROR(VLOOKUP($C40, ProductsMar24!$C$3:$AG$27,28,FALSE),0)</f>
        <v>21</v>
      </c>
      <c r="AE40" s="38">
        <f>IFERROR(VLOOKUP($C40, ProductsMar24!$C$3:$AG$27,29,FALSE),0)</f>
        <v>141</v>
      </c>
      <c r="AF40" s="38">
        <f>IFERROR(VLOOKUP($C40, ProductsMar24!$C$3:$AG$27,30,FALSE),0)</f>
        <v>19</v>
      </c>
      <c r="AG40" s="38">
        <f>IFERROR(VLOOKUP($C40, ProductsMar24!$C$3:$AG$27,31,FALSE),0)</f>
        <v>8</v>
      </c>
      <c r="AH40" s="38"/>
      <c r="AI40" s="38"/>
      <c r="AJ40" s="13">
        <f t="shared" si="1"/>
        <v>5764</v>
      </c>
      <c r="AL40" s="55" t="s">
        <v>156</v>
      </c>
      <c r="AM40" s="56" t="s">
        <v>155</v>
      </c>
      <c r="AN40" s="53">
        <v>15</v>
      </c>
      <c r="AO40" s="53">
        <v>0</v>
      </c>
      <c r="AP40" s="53">
        <v>4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  <c r="AY40" s="53">
        <v>5</v>
      </c>
      <c r="AZ40" s="53">
        <v>6</v>
      </c>
      <c r="BA40" s="53">
        <v>0</v>
      </c>
      <c r="BB40" s="53">
        <v>0</v>
      </c>
      <c r="BC40" s="53">
        <v>0</v>
      </c>
      <c r="BD40" s="53">
        <v>0</v>
      </c>
      <c r="BE40" s="53">
        <v>0</v>
      </c>
      <c r="BF40" s="53">
        <v>0</v>
      </c>
      <c r="BG40" s="53">
        <v>0</v>
      </c>
      <c r="BH40" s="53">
        <v>0</v>
      </c>
      <c r="BI40" s="53">
        <v>0</v>
      </c>
      <c r="BJ40" s="53">
        <v>0</v>
      </c>
      <c r="BK40" s="53">
        <v>0</v>
      </c>
      <c r="BL40" s="53">
        <v>0</v>
      </c>
      <c r="BM40" s="53">
        <v>0</v>
      </c>
      <c r="BN40" s="53">
        <v>0</v>
      </c>
      <c r="BO40" s="53">
        <v>0</v>
      </c>
      <c r="BP40" s="53">
        <v>0</v>
      </c>
      <c r="BQ40" s="53">
        <v>0</v>
      </c>
      <c r="BR40" s="52"/>
    </row>
    <row r="41" spans="2:70" ht="16.5" thickTop="1" thickBot="1">
      <c r="B41" s="21" t="s">
        <v>3</v>
      </c>
      <c r="C41" s="2" t="s">
        <v>125</v>
      </c>
      <c r="D41" s="23" t="s">
        <v>95</v>
      </c>
      <c r="E41" s="38">
        <f>IFERROR(VLOOKUP($C41,ProductsMar24!$C$3:$AG$27,4,FALSE),0)</f>
        <v>16</v>
      </c>
      <c r="F41" s="38">
        <f>IFERROR(VLOOKUP($C41, ProductsMar24!$C$3:$AG$27,5,FALSE),0)</f>
        <v>28</v>
      </c>
      <c r="G41" s="38">
        <f>IFERROR(VLOOKUP($C41, ProductsMar24!$C$3:$AG$27,6,FALSE),0)</f>
        <v>0</v>
      </c>
      <c r="H41" s="38">
        <f>IFERROR(VLOOKUP($C41, ProductsMar24!$C$3:$AG$27,7,FALSE),0)</f>
        <v>0</v>
      </c>
      <c r="I41" s="38">
        <f>IFERROR(VLOOKUP($C41, ProductsMar24!$C$3:$AG$27,8,FALSE),0)</f>
        <v>2</v>
      </c>
      <c r="J41" s="38">
        <f>IFERROR(VLOOKUP($C41, ProductsMar24!$C$3:$AG$27,9,FALSE),0)</f>
        <v>24</v>
      </c>
      <c r="K41" s="38">
        <f>IFERROR(VLOOKUP($C41, ProductsMar24!$C$3:$AG$27,10,FALSE),0)</f>
        <v>111</v>
      </c>
      <c r="L41" s="38">
        <f>IFERROR(VLOOKUP($C41, ProductsMar24!$C$3:$AG$27,11,FALSE),0)</f>
        <v>28</v>
      </c>
      <c r="M41" s="38">
        <f>IFERROR(VLOOKUP($C41, ProductsMar24!$C$3:$AG$27,15,FALSE),0)</f>
        <v>0</v>
      </c>
      <c r="N41" s="38">
        <f>IFERROR(VLOOKUP($C41, ProductsMar24!$C$3:$AG$27,12,FALSE),0)</f>
        <v>28</v>
      </c>
      <c r="O41" s="38">
        <f>IFERROR(VLOOKUP($C41, ProductsMar24!$C$3:$AG$27,13,FALSE),0)</f>
        <v>0</v>
      </c>
      <c r="P41" s="38">
        <f>IFERROR(VLOOKUP($C41, ProductsMar24!$C$3:$AG$27,14,FALSE),0)</f>
        <v>48</v>
      </c>
      <c r="Q41" s="38">
        <f>IFERROR(VLOOKUP($C41, ProductsMar24!$C$3:$AG$27,16,FALSE),0)</f>
        <v>0</v>
      </c>
      <c r="R41" s="38">
        <f>IFERROR(VLOOKUP($C41, ProductsMar24!$C$3:$AG$27,17,FALSE),0)</f>
        <v>0</v>
      </c>
      <c r="S41" s="38">
        <f>IFERROR(VLOOKUP($C41, ProductsMar24!$C$3:$AG$27,18,FALSE),0)</f>
        <v>0</v>
      </c>
      <c r="T41" s="38">
        <v>0</v>
      </c>
      <c r="U41" s="38">
        <f>IFERROR(VLOOKUP($C41, ProductsMar24!$C$3:$AG$27,19,FALSE),0)</f>
        <v>49</v>
      </c>
      <c r="V41" s="38">
        <f>IFERROR(VLOOKUP($C41, ProductsMar24!$C$3:$AG$27,20,FALSE),0)</f>
        <v>2</v>
      </c>
      <c r="W41" s="38">
        <f>IFERROR(VLOOKUP($C41, ProductsMar24!$C$3:$AG$27,21,FALSE),0)</f>
        <v>0</v>
      </c>
      <c r="X41" s="38">
        <f>IFERROR(VLOOKUP($C41, ProductsMar24!$C$3:$AG$27,22,FALSE),0)</f>
        <v>0</v>
      </c>
      <c r="Y41" s="38">
        <f>IFERROR(VLOOKUP($C41, ProductsMar24!$C$3:$AG$27,23,FALSE),0)</f>
        <v>0</v>
      </c>
      <c r="Z41" s="38">
        <f>IFERROR(VLOOKUP($C41, ProductsMar24!$C$3:$AG$27,24,FALSE),0)</f>
        <v>114</v>
      </c>
      <c r="AA41" s="38">
        <f>IFERROR(VLOOKUP($C41, ProductsMar24!$C$3:$AG$27,25,FALSE),0)</f>
        <v>0</v>
      </c>
      <c r="AB41" s="38">
        <f>IFERROR(VLOOKUP($C41, ProductsMar24!$C$3:$AG$27,26,FALSE),0)</f>
        <v>11</v>
      </c>
      <c r="AC41" s="38">
        <f>IFERROR(VLOOKUP($C41, ProductsMar24!$C$3:$AG$27,27,FALSE),0)</f>
        <v>0</v>
      </c>
      <c r="AD41" s="38">
        <f>IFERROR(VLOOKUP($C41, ProductsMar24!$C$3:$AG$27,28,FALSE),0)</f>
        <v>0</v>
      </c>
      <c r="AE41" s="38">
        <f>IFERROR(VLOOKUP($C41, ProductsMar24!$C$3:$AG$27,29,FALSE),0)</f>
        <v>3</v>
      </c>
      <c r="AF41" s="38">
        <f>IFERROR(VLOOKUP($C41, ProductsMar24!$C$3:$AG$27,30,FALSE),0)</f>
        <v>4</v>
      </c>
      <c r="AG41" s="38">
        <f>IFERROR(VLOOKUP($C41, ProductsMar24!$C$3:$AG$27,31,FALSE),0)</f>
        <v>0</v>
      </c>
      <c r="AH41" s="38"/>
      <c r="AI41" s="38"/>
      <c r="AJ41" s="13">
        <f t="shared" si="1"/>
        <v>468</v>
      </c>
      <c r="AL41" s="55" t="s">
        <v>14</v>
      </c>
      <c r="AM41" s="56" t="s">
        <v>103</v>
      </c>
      <c r="AN41" s="53">
        <v>1073</v>
      </c>
      <c r="AO41" s="53">
        <v>0</v>
      </c>
      <c r="AP41" s="53">
        <v>0</v>
      </c>
      <c r="AQ41" s="53">
        <v>0</v>
      </c>
      <c r="AR41" s="53">
        <v>0</v>
      </c>
      <c r="AS41" s="53">
        <v>0</v>
      </c>
      <c r="AT41" s="53">
        <v>8</v>
      </c>
      <c r="AU41" s="53">
        <v>0</v>
      </c>
      <c r="AV41" s="53">
        <v>0</v>
      </c>
      <c r="AW41" s="53">
        <v>169</v>
      </c>
      <c r="AX41" s="53">
        <v>0</v>
      </c>
      <c r="AY41" s="53">
        <v>0</v>
      </c>
      <c r="AZ41" s="53">
        <v>155</v>
      </c>
      <c r="BA41" s="53">
        <v>0</v>
      </c>
      <c r="BB41" s="53">
        <v>0</v>
      </c>
      <c r="BC41" s="53">
        <v>306</v>
      </c>
      <c r="BD41" s="53">
        <v>0</v>
      </c>
      <c r="BE41" s="53">
        <v>3</v>
      </c>
      <c r="BF41" s="53">
        <v>0</v>
      </c>
      <c r="BG41" s="53">
        <v>0</v>
      </c>
      <c r="BH41" s="53">
        <v>0</v>
      </c>
      <c r="BI41" s="53">
        <v>0</v>
      </c>
      <c r="BJ41" s="53">
        <v>54</v>
      </c>
      <c r="BK41" s="53">
        <v>0</v>
      </c>
      <c r="BL41" s="53">
        <v>345</v>
      </c>
      <c r="BM41" s="53">
        <v>0</v>
      </c>
      <c r="BN41" s="53">
        <v>0</v>
      </c>
      <c r="BO41" s="53">
        <v>0</v>
      </c>
      <c r="BP41" s="53">
        <v>0</v>
      </c>
      <c r="BQ41" s="53">
        <v>33</v>
      </c>
      <c r="BR41" s="52"/>
    </row>
    <row r="42" spans="2:70" ht="16.5" thickTop="1" thickBot="1">
      <c r="B42" s="21" t="s">
        <v>3</v>
      </c>
      <c r="C42" s="2" t="s">
        <v>126</v>
      </c>
      <c r="D42" s="23" t="s">
        <v>96</v>
      </c>
      <c r="E42" s="38">
        <f>IFERROR(VLOOKUP($C42,ProductsMar24!$C$3:$AG$27,4,FALSE),0)</f>
        <v>29</v>
      </c>
      <c r="F42" s="38">
        <f>IFERROR(VLOOKUP($C42, ProductsMar24!$C$3:$AG$27,5,FALSE),0)</f>
        <v>241</v>
      </c>
      <c r="G42" s="38">
        <f>IFERROR(VLOOKUP($C42, ProductsMar24!$C$3:$AG$27,6,FALSE),0)</f>
        <v>0</v>
      </c>
      <c r="H42" s="38">
        <f>IFERROR(VLOOKUP($C42, ProductsMar24!$C$3:$AG$27,7,FALSE),0)</f>
        <v>0</v>
      </c>
      <c r="I42" s="38">
        <f>IFERROR(VLOOKUP($C42, ProductsMar24!$C$3:$AG$27,8,FALSE),0)</f>
        <v>0</v>
      </c>
      <c r="J42" s="38">
        <f>IFERROR(VLOOKUP($C42, ProductsMar24!$C$3:$AG$27,9,FALSE),0)</f>
        <v>197</v>
      </c>
      <c r="K42" s="38">
        <f>IFERROR(VLOOKUP($C42, ProductsMar24!$C$3:$AG$27,10,FALSE),0)</f>
        <v>0</v>
      </c>
      <c r="L42" s="38">
        <f>IFERROR(VLOOKUP($C42, ProductsMar24!$C$3:$AG$27,11,FALSE),0)</f>
        <v>22</v>
      </c>
      <c r="M42" s="38">
        <f>IFERROR(VLOOKUP($C42, ProductsMar24!$C$3:$AG$27,15,FALSE),0)</f>
        <v>0</v>
      </c>
      <c r="N42" s="38">
        <f>IFERROR(VLOOKUP($C42, ProductsMar24!$C$3:$AG$27,12,FALSE),0)</f>
        <v>127</v>
      </c>
      <c r="O42" s="38">
        <f>IFERROR(VLOOKUP($C42, ProductsMar24!$C$3:$AG$27,13,FALSE),0)</f>
        <v>0</v>
      </c>
      <c r="P42" s="38">
        <f>IFERROR(VLOOKUP($C42, ProductsMar24!$C$3:$AG$27,14,FALSE),0)</f>
        <v>128</v>
      </c>
      <c r="Q42" s="38">
        <f>IFERROR(VLOOKUP($C42, ProductsMar24!$C$3:$AG$27,16,FALSE),0)</f>
        <v>2</v>
      </c>
      <c r="R42" s="38">
        <f>IFERROR(VLOOKUP($C42, ProductsMar24!$C$3:$AG$27,17,FALSE),0)</f>
        <v>0</v>
      </c>
      <c r="S42" s="38">
        <f>IFERROR(VLOOKUP($C42, ProductsMar24!$C$3:$AG$27,18,FALSE),0)</f>
        <v>0</v>
      </c>
      <c r="T42" s="38">
        <v>0</v>
      </c>
      <c r="U42" s="38">
        <f>IFERROR(VLOOKUP($C42, ProductsMar24!$C$3:$AG$27,19,FALSE),0)</f>
        <v>399</v>
      </c>
      <c r="V42" s="38">
        <f>IFERROR(VLOOKUP($C42, ProductsMar24!$C$3:$AG$27,20,FALSE),0)</f>
        <v>0</v>
      </c>
      <c r="W42" s="38">
        <f>IFERROR(VLOOKUP($C42, ProductsMar24!$C$3:$AG$27,21,FALSE),0)</f>
        <v>0</v>
      </c>
      <c r="X42" s="38">
        <f>IFERROR(VLOOKUP($C42, ProductsMar24!$C$3:$AG$27,22,FALSE),0)</f>
        <v>0</v>
      </c>
      <c r="Y42" s="38">
        <f>IFERROR(VLOOKUP($C42, ProductsMar24!$C$3:$AG$27,23,FALSE),0)</f>
        <v>0</v>
      </c>
      <c r="Z42" s="38">
        <f>IFERROR(VLOOKUP($C42, ProductsMar24!$C$3:$AG$27,24,FALSE),0)</f>
        <v>23</v>
      </c>
      <c r="AA42" s="38">
        <f>IFERROR(VLOOKUP($C42, ProductsMar24!$C$3:$AG$27,25,FALSE),0)</f>
        <v>0</v>
      </c>
      <c r="AB42" s="38">
        <f>IFERROR(VLOOKUP($C42, ProductsMar24!$C$3:$AG$27,26,FALSE),0)</f>
        <v>5</v>
      </c>
      <c r="AC42" s="38">
        <f>IFERROR(VLOOKUP($C42, ProductsMar24!$C$3:$AG$27,27,FALSE),0)</f>
        <v>0</v>
      </c>
      <c r="AD42" s="38">
        <f>IFERROR(VLOOKUP($C42, ProductsMar24!$C$3:$AG$27,28,FALSE),0)</f>
        <v>0</v>
      </c>
      <c r="AE42" s="38">
        <f>IFERROR(VLOOKUP($C42, ProductsMar24!$C$3:$AG$27,29,FALSE),0)</f>
        <v>59</v>
      </c>
      <c r="AF42" s="38">
        <f>IFERROR(VLOOKUP($C42, ProductsMar24!$C$3:$AG$27,30,FALSE),0)</f>
        <v>9</v>
      </c>
      <c r="AG42" s="38">
        <f>IFERROR(VLOOKUP($C42, ProductsMar24!$C$3:$AG$27,31,FALSE),0)</f>
        <v>0</v>
      </c>
      <c r="AH42" s="38"/>
      <c r="AI42" s="38"/>
      <c r="AJ42" s="13">
        <f t="shared" si="1"/>
        <v>1241</v>
      </c>
      <c r="AL42" s="55" t="s">
        <v>154</v>
      </c>
      <c r="AM42" s="56" t="s">
        <v>112</v>
      </c>
      <c r="AN42" s="53">
        <v>5207</v>
      </c>
      <c r="AO42" s="53">
        <v>6</v>
      </c>
      <c r="AP42" s="53">
        <v>77</v>
      </c>
      <c r="AQ42" s="53">
        <v>11</v>
      </c>
      <c r="AR42" s="53">
        <v>0</v>
      </c>
      <c r="AS42" s="53">
        <v>2</v>
      </c>
      <c r="AT42" s="53">
        <v>104</v>
      </c>
      <c r="AU42" s="53">
        <v>5</v>
      </c>
      <c r="AV42" s="53">
        <v>3</v>
      </c>
      <c r="AW42" s="53">
        <v>510</v>
      </c>
      <c r="AX42" s="53">
        <v>36</v>
      </c>
      <c r="AY42" s="53">
        <v>381</v>
      </c>
      <c r="AZ42" s="53">
        <v>73</v>
      </c>
      <c r="BA42" s="53">
        <v>0</v>
      </c>
      <c r="BB42" s="53">
        <v>0</v>
      </c>
      <c r="BC42" s="53">
        <v>1</v>
      </c>
      <c r="BD42" s="53">
        <v>0</v>
      </c>
      <c r="BE42" s="53">
        <v>2388</v>
      </c>
      <c r="BF42" s="53">
        <v>83</v>
      </c>
      <c r="BG42" s="53">
        <v>0</v>
      </c>
      <c r="BH42" s="53">
        <v>0</v>
      </c>
      <c r="BI42" s="53">
        <v>0</v>
      </c>
      <c r="BJ42" s="53">
        <v>416</v>
      </c>
      <c r="BK42" s="53">
        <v>0</v>
      </c>
      <c r="BL42" s="53">
        <v>103</v>
      </c>
      <c r="BM42" s="53">
        <v>54</v>
      </c>
      <c r="BN42" s="53">
        <v>19</v>
      </c>
      <c r="BO42" s="53">
        <v>806</v>
      </c>
      <c r="BP42" s="53">
        <v>5</v>
      </c>
      <c r="BQ42" s="53">
        <v>124</v>
      </c>
      <c r="BR42" s="52"/>
    </row>
    <row r="43" spans="2:70" ht="16.5" thickTop="1" thickBot="1">
      <c r="B43" s="21" t="s">
        <v>3</v>
      </c>
      <c r="C43" s="2" t="s">
        <v>6</v>
      </c>
      <c r="D43" s="23" t="s">
        <v>97</v>
      </c>
      <c r="E43" s="38">
        <f>IFERROR(VLOOKUP($C43,ProductsMar24!$C$3:$AG$27,4,FALSE),0)</f>
        <v>29</v>
      </c>
      <c r="F43" s="38">
        <f>IFERROR(VLOOKUP($C43, ProductsMar24!$C$3:$AG$27,5,FALSE),0)</f>
        <v>170</v>
      </c>
      <c r="G43" s="38">
        <f>IFERROR(VLOOKUP($C43, ProductsMar24!$C$3:$AG$27,6,FALSE),0)</f>
        <v>3</v>
      </c>
      <c r="H43" s="38">
        <f>IFERROR(VLOOKUP($C43, ProductsMar24!$C$3:$AG$27,7,FALSE),0)</f>
        <v>0</v>
      </c>
      <c r="I43" s="38">
        <f>IFERROR(VLOOKUP($C43, ProductsMar24!$C$3:$AG$27,8,FALSE),0)</f>
        <v>10</v>
      </c>
      <c r="J43" s="38">
        <f>IFERROR(VLOOKUP($C43, ProductsMar24!$C$3:$AG$27,9,FALSE),0)</f>
        <v>133</v>
      </c>
      <c r="K43" s="38">
        <f>IFERROR(VLOOKUP($C43, ProductsMar24!$C$3:$AG$27,10,FALSE),0)</f>
        <v>42</v>
      </c>
      <c r="L43" s="38">
        <f>IFERROR(VLOOKUP($C43, ProductsMar24!$C$3:$AG$27,11,FALSE),0)</f>
        <v>65</v>
      </c>
      <c r="M43" s="38">
        <f>IFERROR(VLOOKUP($C43, ProductsMar24!$C$3:$AG$27,15,FALSE),0)</f>
        <v>2</v>
      </c>
      <c r="N43" s="38">
        <f>IFERROR(VLOOKUP($C43, ProductsMar24!$C$3:$AG$27,12,FALSE),0)</f>
        <v>91</v>
      </c>
      <c r="O43" s="38">
        <f>IFERROR(VLOOKUP($C43, ProductsMar24!$C$3:$AG$27,13,FALSE),0)</f>
        <v>0</v>
      </c>
      <c r="P43" s="38">
        <f>IFERROR(VLOOKUP($C43, ProductsMar24!$C$3:$AG$27,14,FALSE),0)</f>
        <v>150</v>
      </c>
      <c r="Q43" s="38">
        <f>IFERROR(VLOOKUP($C43, ProductsMar24!$C$3:$AG$27,16,FALSE),0)</f>
        <v>3</v>
      </c>
      <c r="R43" s="38">
        <f>IFERROR(VLOOKUP($C43, ProductsMar24!$C$3:$AG$27,17,FALSE),0)</f>
        <v>4</v>
      </c>
      <c r="S43" s="38">
        <f>IFERROR(VLOOKUP($C43, ProductsMar24!$C$3:$AG$27,18,FALSE),0)</f>
        <v>14</v>
      </c>
      <c r="T43" s="38">
        <v>0</v>
      </c>
      <c r="U43" s="38">
        <f>IFERROR(VLOOKUP($C43, ProductsMar24!$C$3:$AG$27,19,FALSE),0)</f>
        <v>265</v>
      </c>
      <c r="V43" s="38">
        <f>IFERROR(VLOOKUP($C43, ProductsMar24!$C$3:$AG$27,20,FALSE),0)</f>
        <v>5</v>
      </c>
      <c r="W43" s="38">
        <f>IFERROR(VLOOKUP($C43, ProductsMar24!$C$3:$AG$27,21,FALSE),0)</f>
        <v>0</v>
      </c>
      <c r="X43" s="38">
        <f>IFERROR(VLOOKUP($C43, ProductsMar24!$C$3:$AG$27,22,FALSE),0)</f>
        <v>28</v>
      </c>
      <c r="Y43" s="38">
        <f>IFERROR(VLOOKUP($C43, ProductsMar24!$C$3:$AG$27,23,FALSE),0)</f>
        <v>0</v>
      </c>
      <c r="Z43" s="38">
        <f>IFERROR(VLOOKUP($C43, ProductsMar24!$C$3:$AG$27,24,FALSE),0)</f>
        <v>44</v>
      </c>
      <c r="AA43" s="38">
        <f>IFERROR(VLOOKUP($C43, ProductsMar24!$C$3:$AG$27,25,FALSE),0)</f>
        <v>0</v>
      </c>
      <c r="AB43" s="38">
        <f>IFERROR(VLOOKUP($C43, ProductsMar24!$C$3:$AG$27,26,FALSE),0)</f>
        <v>58</v>
      </c>
      <c r="AC43" s="38">
        <f>IFERROR(VLOOKUP($C43, ProductsMar24!$C$3:$AG$27,27,FALSE),0)</f>
        <v>5</v>
      </c>
      <c r="AD43" s="38">
        <f>IFERROR(VLOOKUP($C43, ProductsMar24!$C$3:$AG$27,28,FALSE),0)</f>
        <v>3</v>
      </c>
      <c r="AE43" s="38">
        <f>IFERROR(VLOOKUP($C43, ProductsMar24!$C$3:$AG$27,29,FALSE),0)</f>
        <v>0</v>
      </c>
      <c r="AF43" s="38">
        <f>IFERROR(VLOOKUP($C43, ProductsMar24!$C$3:$AG$27,30,FALSE),0)</f>
        <v>1</v>
      </c>
      <c r="AG43" s="38">
        <f>IFERROR(VLOOKUP($C43, ProductsMar24!$C$3:$AG$27,31,FALSE),0)</f>
        <v>2</v>
      </c>
      <c r="AH43" s="38"/>
      <c r="AI43" s="38"/>
      <c r="AJ43" s="13">
        <f t="shared" si="1"/>
        <v>1127</v>
      </c>
      <c r="AL43" s="55" t="s">
        <v>23</v>
      </c>
      <c r="AM43" s="56" t="s">
        <v>110</v>
      </c>
      <c r="AN43" s="53">
        <v>133</v>
      </c>
      <c r="AO43" s="53">
        <v>18</v>
      </c>
      <c r="AP43" s="53">
        <v>0</v>
      </c>
      <c r="AQ43" s="53">
        <v>0</v>
      </c>
      <c r="AR43" s="53">
        <v>1</v>
      </c>
      <c r="AS43" s="53">
        <v>14</v>
      </c>
      <c r="AT43" s="53">
        <v>7</v>
      </c>
      <c r="AU43" s="53">
        <v>26</v>
      </c>
      <c r="AV43" s="53">
        <v>13</v>
      </c>
      <c r="AW43" s="53">
        <v>0</v>
      </c>
      <c r="AX43" s="53">
        <v>4</v>
      </c>
      <c r="AY43" s="53">
        <v>4</v>
      </c>
      <c r="AZ43" s="53">
        <v>3</v>
      </c>
      <c r="BA43" s="53">
        <v>0</v>
      </c>
      <c r="BB43" s="53">
        <v>0</v>
      </c>
      <c r="BC43" s="53">
        <v>2</v>
      </c>
      <c r="BD43" s="53">
        <v>0</v>
      </c>
      <c r="BE43" s="53">
        <v>5</v>
      </c>
      <c r="BF43" s="53">
        <v>0</v>
      </c>
      <c r="BG43" s="53">
        <v>0</v>
      </c>
      <c r="BH43" s="53">
        <v>3</v>
      </c>
      <c r="BI43" s="53">
        <v>0</v>
      </c>
      <c r="BJ43" s="53">
        <v>6</v>
      </c>
      <c r="BK43" s="53">
        <v>2</v>
      </c>
      <c r="BL43" s="53">
        <v>6</v>
      </c>
      <c r="BM43" s="53">
        <v>6</v>
      </c>
      <c r="BN43" s="53">
        <v>3</v>
      </c>
      <c r="BO43" s="53">
        <v>5</v>
      </c>
      <c r="BP43" s="53">
        <v>0</v>
      </c>
      <c r="BQ43" s="53">
        <v>5</v>
      </c>
      <c r="BR43" s="52"/>
    </row>
    <row r="44" spans="2:70" ht="16.5" thickTop="1" thickBot="1">
      <c r="B44" s="21" t="s">
        <v>3</v>
      </c>
      <c r="C44" s="2" t="s">
        <v>7</v>
      </c>
      <c r="D44" s="23" t="s">
        <v>98</v>
      </c>
      <c r="E44" s="38">
        <f>IFERROR(VLOOKUP($C44,ProductsMar24!$C$3:$AG$27,4,FALSE),0)</f>
        <v>13</v>
      </c>
      <c r="F44" s="38">
        <f>IFERROR(VLOOKUP($C44, ProductsMar24!$C$3:$AG$27,5,FALSE),0)</f>
        <v>180</v>
      </c>
      <c r="G44" s="38">
        <f>IFERROR(VLOOKUP($C44, ProductsMar24!$C$3:$AG$27,6,FALSE),0)</f>
        <v>1</v>
      </c>
      <c r="H44" s="38">
        <f>IFERROR(VLOOKUP($C44, ProductsMar24!$C$3:$AG$27,7,FALSE),0)</f>
        <v>0</v>
      </c>
      <c r="I44" s="38">
        <f>IFERROR(VLOOKUP($C44, ProductsMar24!$C$3:$AG$27,8,FALSE),0)</f>
        <v>6</v>
      </c>
      <c r="J44" s="38">
        <f>IFERROR(VLOOKUP($C44, ProductsMar24!$C$3:$AG$27,9,FALSE),0)</f>
        <v>79</v>
      </c>
      <c r="K44" s="38">
        <f>IFERROR(VLOOKUP($C44, ProductsMar24!$C$3:$AG$27,10,FALSE),0)</f>
        <v>110</v>
      </c>
      <c r="L44" s="38">
        <f>IFERROR(VLOOKUP($C44, ProductsMar24!$C$3:$AG$27,11,FALSE),0)</f>
        <v>349</v>
      </c>
      <c r="M44" s="38">
        <f>IFERROR(VLOOKUP($C44, ProductsMar24!$C$3:$AG$27,15,FALSE),0)</f>
        <v>0</v>
      </c>
      <c r="N44" s="38">
        <f>IFERROR(VLOOKUP($C44, ProductsMar24!$C$3:$AG$27,12,FALSE),0)</f>
        <v>112</v>
      </c>
      <c r="O44" s="38">
        <f>IFERROR(VLOOKUP($C44, ProductsMar24!$C$3:$AG$27,13,FALSE),0)</f>
        <v>0</v>
      </c>
      <c r="P44" s="38">
        <f>IFERROR(VLOOKUP($C44, ProductsMar24!$C$3:$AG$27,14,FALSE),0)</f>
        <v>29</v>
      </c>
      <c r="Q44" s="38">
        <f>IFERROR(VLOOKUP($C44, ProductsMar24!$C$3:$AG$27,16,FALSE),0)</f>
        <v>1</v>
      </c>
      <c r="R44" s="38">
        <f>IFERROR(VLOOKUP($C44, ProductsMar24!$C$3:$AG$27,17,FALSE),0)</f>
        <v>0</v>
      </c>
      <c r="S44" s="38">
        <f>IFERROR(VLOOKUP($C44, ProductsMar24!$C$3:$AG$27,18,FALSE),0)</f>
        <v>11</v>
      </c>
      <c r="T44" s="38">
        <v>0</v>
      </c>
      <c r="U44" s="38">
        <f>IFERROR(VLOOKUP($C44, ProductsMar24!$C$3:$AG$27,19,FALSE),0)</f>
        <v>85</v>
      </c>
      <c r="V44" s="38">
        <f>IFERROR(VLOOKUP($C44, ProductsMar24!$C$3:$AG$27,20,FALSE),0)</f>
        <v>7</v>
      </c>
      <c r="W44" s="38">
        <f>IFERROR(VLOOKUP($C44, ProductsMar24!$C$3:$AG$27,21,FALSE),0)</f>
        <v>0</v>
      </c>
      <c r="X44" s="38">
        <f>IFERROR(VLOOKUP($C44, ProductsMar24!$C$3:$AG$27,22,FALSE),0)</f>
        <v>20</v>
      </c>
      <c r="Y44" s="38">
        <f>IFERROR(VLOOKUP($C44, ProductsMar24!$C$3:$AG$27,23,FALSE),0)</f>
        <v>0</v>
      </c>
      <c r="Z44" s="38">
        <f>IFERROR(VLOOKUP($C44, ProductsMar24!$C$3:$AG$27,24,FALSE),0)</f>
        <v>40</v>
      </c>
      <c r="AA44" s="38">
        <f>IFERROR(VLOOKUP($C44, ProductsMar24!$C$3:$AG$27,25,FALSE),0)</f>
        <v>0</v>
      </c>
      <c r="AB44" s="38">
        <f>IFERROR(VLOOKUP($C44, ProductsMar24!$C$3:$AG$27,26,FALSE),0)</f>
        <v>40</v>
      </c>
      <c r="AC44" s="38">
        <f>IFERROR(VLOOKUP($C44, ProductsMar24!$C$3:$AG$27,27,FALSE),0)</f>
        <v>1</v>
      </c>
      <c r="AD44" s="38">
        <f>IFERROR(VLOOKUP($C44, ProductsMar24!$C$3:$AG$27,28,FALSE),0)</f>
        <v>1</v>
      </c>
      <c r="AE44" s="38">
        <f>IFERROR(VLOOKUP($C44, ProductsMar24!$C$3:$AG$27,29,FALSE),0)</f>
        <v>0</v>
      </c>
      <c r="AF44" s="38">
        <f>IFERROR(VLOOKUP($C44, ProductsMar24!$C$3:$AG$27,30,FALSE),0)</f>
        <v>1</v>
      </c>
      <c r="AG44" s="38">
        <f>IFERROR(VLOOKUP($C44, ProductsMar24!$C$3:$AG$27,31,FALSE),0)</f>
        <v>0</v>
      </c>
      <c r="AH44" s="38"/>
      <c r="AI44" s="38"/>
      <c r="AJ44" s="13">
        <f t="shared" si="1"/>
        <v>1086</v>
      </c>
      <c r="AL44" s="55" t="s">
        <v>143</v>
      </c>
      <c r="AM44" s="56" t="s">
        <v>106</v>
      </c>
      <c r="AN44" s="53">
        <v>66</v>
      </c>
      <c r="AO44" s="53">
        <v>6</v>
      </c>
      <c r="AP44" s="53">
        <v>0</v>
      </c>
      <c r="AQ44" s="53">
        <v>0</v>
      </c>
      <c r="AR44" s="53">
        <v>0</v>
      </c>
      <c r="AS44" s="53">
        <v>0</v>
      </c>
      <c r="AT44" s="53">
        <v>0</v>
      </c>
      <c r="AU44" s="53">
        <v>58</v>
      </c>
      <c r="AV44" s="53">
        <v>0</v>
      </c>
      <c r="AW44" s="53">
        <v>0</v>
      </c>
      <c r="AX44" s="53">
        <v>0</v>
      </c>
      <c r="AY44" s="53">
        <v>1</v>
      </c>
      <c r="AZ44" s="53">
        <v>0</v>
      </c>
      <c r="BA44" s="53">
        <v>0</v>
      </c>
      <c r="BB44" s="53">
        <v>0</v>
      </c>
      <c r="BC44" s="53">
        <v>0</v>
      </c>
      <c r="BD44" s="53">
        <v>0</v>
      </c>
      <c r="BE44" s="53">
        <v>0</v>
      </c>
      <c r="BF44" s="53">
        <v>1</v>
      </c>
      <c r="BG44" s="53">
        <v>0</v>
      </c>
      <c r="BH44" s="53">
        <v>0</v>
      </c>
      <c r="BI44" s="53">
        <v>0</v>
      </c>
      <c r="BJ44" s="53">
        <v>0</v>
      </c>
      <c r="BK44" s="53">
        <v>0</v>
      </c>
      <c r="BL44" s="53">
        <v>0</v>
      </c>
      <c r="BM44" s="53">
        <v>0</v>
      </c>
      <c r="BN44" s="53">
        <v>0</v>
      </c>
      <c r="BO44" s="53">
        <v>0</v>
      </c>
      <c r="BP44" s="53">
        <v>0</v>
      </c>
      <c r="BQ44" s="53">
        <v>0</v>
      </c>
      <c r="BR44" s="52"/>
    </row>
    <row r="45" spans="2:70" ht="16.5" thickTop="1" thickBot="1">
      <c r="B45" s="21" t="s">
        <v>3</v>
      </c>
      <c r="C45" s="2" t="s">
        <v>8</v>
      </c>
      <c r="D45" s="23" t="s">
        <v>99</v>
      </c>
      <c r="E45" s="38">
        <f>IFERROR(VLOOKUP($C45,ProductsMar24!$C$3:$AG$27,4,FALSE),0)</f>
        <v>10</v>
      </c>
      <c r="F45" s="38">
        <f>IFERROR(VLOOKUP($C45, ProductsMar24!$C$3:$AG$27,5,FALSE),0)</f>
        <v>193</v>
      </c>
      <c r="G45" s="38">
        <f>IFERROR(VLOOKUP($C45, ProductsMar24!$C$3:$AG$27,6,FALSE),0)</f>
        <v>0</v>
      </c>
      <c r="H45" s="38">
        <f>IFERROR(VLOOKUP($C45, ProductsMar24!$C$3:$AG$27,7,FALSE),0)</f>
        <v>0</v>
      </c>
      <c r="I45" s="38">
        <f>IFERROR(VLOOKUP($C45, ProductsMar24!$C$3:$AG$27,8,FALSE),0)</f>
        <v>0</v>
      </c>
      <c r="J45" s="38">
        <f>IFERROR(VLOOKUP($C45, ProductsMar24!$C$3:$AG$27,9,FALSE),0)</f>
        <v>50</v>
      </c>
      <c r="K45" s="38">
        <f>IFERROR(VLOOKUP($C45, ProductsMar24!$C$3:$AG$27,10,FALSE),0)</f>
        <v>0</v>
      </c>
      <c r="L45" s="38">
        <f>IFERROR(VLOOKUP($C45, ProductsMar24!$C$3:$AG$27,11,FALSE),0)</f>
        <v>0</v>
      </c>
      <c r="M45" s="38">
        <f>IFERROR(VLOOKUP($C45, ProductsMar24!$C$3:$AG$27,15,FALSE),0)</f>
        <v>0</v>
      </c>
      <c r="N45" s="38">
        <f>IFERROR(VLOOKUP($C45, ProductsMar24!$C$3:$AG$27,12,FALSE),0)</f>
        <v>42</v>
      </c>
      <c r="O45" s="38">
        <f>IFERROR(VLOOKUP($C45, ProductsMar24!$C$3:$AG$27,13,FALSE),0)</f>
        <v>0</v>
      </c>
      <c r="P45" s="38">
        <f>IFERROR(VLOOKUP($C45, ProductsMar24!$C$3:$AG$27,14,FALSE),0)</f>
        <v>19</v>
      </c>
      <c r="Q45" s="38">
        <f>IFERROR(VLOOKUP($C45, ProductsMar24!$C$3:$AG$27,16,FALSE),0)</f>
        <v>0</v>
      </c>
      <c r="R45" s="38">
        <f>IFERROR(VLOOKUP($C45, ProductsMar24!$C$3:$AG$27,17,FALSE),0)</f>
        <v>0</v>
      </c>
      <c r="S45" s="38">
        <f>IFERROR(VLOOKUP($C45, ProductsMar24!$C$3:$AG$27,18,FALSE),0)</f>
        <v>0</v>
      </c>
      <c r="T45" s="38">
        <v>0</v>
      </c>
      <c r="U45" s="38">
        <f>IFERROR(VLOOKUP($C45, ProductsMar24!$C$3:$AG$27,19,FALSE),0)</f>
        <v>108</v>
      </c>
      <c r="V45" s="38">
        <f>IFERROR(VLOOKUP($C45, ProductsMar24!$C$3:$AG$27,20,FALSE),0)</f>
        <v>0</v>
      </c>
      <c r="W45" s="38">
        <f>IFERROR(VLOOKUP($C45, ProductsMar24!$C$3:$AG$27,21,FALSE),0)</f>
        <v>0</v>
      </c>
      <c r="X45" s="38">
        <f>IFERROR(VLOOKUP($C45, ProductsMar24!$C$3:$AG$27,22,FALSE),0)</f>
        <v>0</v>
      </c>
      <c r="Y45" s="38">
        <f>IFERROR(VLOOKUP($C45, ProductsMar24!$C$3:$AG$27,23,FALSE),0)</f>
        <v>0</v>
      </c>
      <c r="Z45" s="38">
        <f>IFERROR(VLOOKUP($C45, ProductsMar24!$C$3:$AG$27,24,FALSE),0)</f>
        <v>58</v>
      </c>
      <c r="AA45" s="38">
        <f>IFERROR(VLOOKUP($C45, ProductsMar24!$C$3:$AG$27,25,FALSE),0)</f>
        <v>0</v>
      </c>
      <c r="AB45" s="38">
        <f>IFERROR(VLOOKUP($C45, ProductsMar24!$C$3:$AG$27,26,FALSE),0)</f>
        <v>0</v>
      </c>
      <c r="AC45" s="38">
        <f>IFERROR(VLOOKUP($C45, ProductsMar24!$C$3:$AG$27,27,FALSE),0)</f>
        <v>0</v>
      </c>
      <c r="AD45" s="38">
        <f>IFERROR(VLOOKUP($C45, ProductsMar24!$C$3:$AG$27,28,FALSE),0)</f>
        <v>0</v>
      </c>
      <c r="AE45" s="38">
        <f>IFERROR(VLOOKUP($C45, ProductsMar24!$C$3:$AG$27,29,FALSE),0)</f>
        <v>0</v>
      </c>
      <c r="AF45" s="38">
        <f>IFERROR(VLOOKUP($C45, ProductsMar24!$C$3:$AG$27,30,FALSE),0)</f>
        <v>1</v>
      </c>
      <c r="AG45" s="38">
        <f>IFERROR(VLOOKUP($C45, ProductsMar24!$C$3:$AG$27,31,FALSE),0)</f>
        <v>0</v>
      </c>
      <c r="AH45" s="38"/>
      <c r="AI45" s="38"/>
      <c r="AJ45" s="13">
        <f t="shared" si="1"/>
        <v>481</v>
      </c>
      <c r="AL45" s="55" t="s">
        <v>15</v>
      </c>
      <c r="AM45" s="56" t="s">
        <v>104</v>
      </c>
      <c r="AN45" s="53">
        <v>6470</v>
      </c>
      <c r="AO45" s="53">
        <v>0</v>
      </c>
      <c r="AP45" s="53">
        <v>0</v>
      </c>
      <c r="AQ45" s="53">
        <v>0</v>
      </c>
      <c r="AR45" s="53">
        <v>0</v>
      </c>
      <c r="AS45" s="53">
        <v>3</v>
      </c>
      <c r="AT45" s="53">
        <v>0</v>
      </c>
      <c r="AU45" s="53">
        <v>0</v>
      </c>
      <c r="AV45" s="53">
        <v>0</v>
      </c>
      <c r="AW45" s="53">
        <v>38</v>
      </c>
      <c r="AX45" s="53">
        <v>0</v>
      </c>
      <c r="AY45" s="53">
        <v>0</v>
      </c>
      <c r="AZ45" s="53">
        <v>15</v>
      </c>
      <c r="BA45" s="53">
        <v>0</v>
      </c>
      <c r="BB45" s="53">
        <v>0</v>
      </c>
      <c r="BC45" s="53">
        <v>0</v>
      </c>
      <c r="BD45" s="53">
        <v>1</v>
      </c>
      <c r="BE45" s="53">
        <v>6413</v>
      </c>
      <c r="BF45" s="53">
        <v>0</v>
      </c>
      <c r="BG45" s="53">
        <v>0</v>
      </c>
      <c r="BH45" s="53">
        <v>0</v>
      </c>
      <c r="BI45" s="53">
        <v>0</v>
      </c>
      <c r="BJ45" s="53">
        <v>0</v>
      </c>
      <c r="BK45" s="53">
        <v>0</v>
      </c>
      <c r="BL45" s="53">
        <v>0</v>
      </c>
      <c r="BM45" s="53">
        <v>0</v>
      </c>
      <c r="BN45" s="53">
        <v>0</v>
      </c>
      <c r="BO45" s="53">
        <v>0</v>
      </c>
      <c r="BP45" s="53">
        <v>0</v>
      </c>
      <c r="BQ45" s="53">
        <v>0</v>
      </c>
      <c r="BR45" s="52"/>
    </row>
    <row r="46" spans="2:70" ht="16.5" thickTop="1" thickBot="1">
      <c r="B46" s="21" t="s">
        <v>3</v>
      </c>
      <c r="C46" s="2" t="s">
        <v>123</v>
      </c>
      <c r="D46" s="27" t="s">
        <v>116</v>
      </c>
      <c r="E46" s="38">
        <f>IFERROR(VLOOKUP($C46,ProductsMar24!$C$3:$AG$27,4,FALSE),0)</f>
        <v>2</v>
      </c>
      <c r="F46" s="38">
        <f>IFERROR(VLOOKUP($C46, ProductsMar24!$C$3:$AG$27,5,FALSE),0)</f>
        <v>0</v>
      </c>
      <c r="G46" s="38">
        <f>IFERROR(VLOOKUP($C46, ProductsMar24!$C$3:$AG$27,6,FALSE),0)</f>
        <v>0</v>
      </c>
      <c r="H46" s="38">
        <f>IFERROR(VLOOKUP($C46, ProductsMar24!$C$3:$AG$27,7,FALSE),0)</f>
        <v>0</v>
      </c>
      <c r="I46" s="38">
        <f>IFERROR(VLOOKUP($C46, ProductsMar24!$C$3:$AG$27,8,FALSE),0)</f>
        <v>0</v>
      </c>
      <c r="J46" s="38">
        <f>IFERROR(VLOOKUP($C46, ProductsMar24!$C$3:$AG$27,9,FALSE),0)</f>
        <v>0</v>
      </c>
      <c r="K46" s="38">
        <f>IFERROR(VLOOKUP($C46, ProductsMar24!$C$3:$AG$27,10,FALSE),0)</f>
        <v>0</v>
      </c>
      <c r="L46" s="38">
        <f>IFERROR(VLOOKUP($C46, ProductsMar24!$C$3:$AG$27,11,FALSE),0)</f>
        <v>0</v>
      </c>
      <c r="M46" s="38">
        <f>IFERROR(VLOOKUP($C46, ProductsMar24!$C$3:$AG$27,15,FALSE),0)</f>
        <v>0</v>
      </c>
      <c r="N46" s="38">
        <f>IFERROR(VLOOKUP($C46, ProductsMar24!$C$3:$AG$27,12,FALSE),0)</f>
        <v>16</v>
      </c>
      <c r="O46" s="38">
        <f>IFERROR(VLOOKUP($C46, ProductsMar24!$C$3:$AG$27,13,FALSE),0)</f>
        <v>0</v>
      </c>
      <c r="P46" s="38">
        <f>IFERROR(VLOOKUP($C46, ProductsMar24!$C$3:$AG$27,14,FALSE),0)</f>
        <v>9</v>
      </c>
      <c r="Q46" s="38">
        <f>IFERROR(VLOOKUP($C46, ProductsMar24!$C$3:$AG$27,16,FALSE),0)</f>
        <v>1</v>
      </c>
      <c r="R46" s="38">
        <f>IFERROR(VLOOKUP($C46, ProductsMar24!$C$3:$AG$27,17,FALSE),0)</f>
        <v>0</v>
      </c>
      <c r="S46" s="38">
        <f>IFERROR(VLOOKUP($C46, ProductsMar24!$C$3:$AG$27,18,FALSE),0)</f>
        <v>1</v>
      </c>
      <c r="T46" s="38">
        <v>0</v>
      </c>
      <c r="U46" s="38">
        <f>IFERROR(VLOOKUP($C46, ProductsMar24!$C$3:$AG$27,19,FALSE),0)</f>
        <v>179</v>
      </c>
      <c r="V46" s="38">
        <f>IFERROR(VLOOKUP($C46, ProductsMar24!$C$3:$AG$27,20,FALSE),0)</f>
        <v>0</v>
      </c>
      <c r="W46" s="38">
        <f>IFERROR(VLOOKUP($C46, ProductsMar24!$C$3:$AG$27,21,FALSE),0)</f>
        <v>0</v>
      </c>
      <c r="X46" s="38">
        <f>IFERROR(VLOOKUP($C46, ProductsMar24!$C$3:$AG$27,22,FALSE),0)</f>
        <v>0</v>
      </c>
      <c r="Y46" s="38">
        <f>IFERROR(VLOOKUP($C46, ProductsMar24!$C$3:$AG$27,23,FALSE),0)</f>
        <v>0</v>
      </c>
      <c r="Z46" s="38">
        <f>IFERROR(VLOOKUP($C46, ProductsMar24!$C$3:$AG$27,24,FALSE),0)</f>
        <v>0</v>
      </c>
      <c r="AA46" s="38">
        <f>IFERROR(VLOOKUP($C46, ProductsMar24!$C$3:$AG$27,25,FALSE),0)</f>
        <v>0</v>
      </c>
      <c r="AB46" s="38">
        <f>IFERROR(VLOOKUP($C46, ProductsMar24!$C$3:$AG$27,26,FALSE),0)</f>
        <v>4</v>
      </c>
      <c r="AC46" s="38">
        <f>IFERROR(VLOOKUP($C46, ProductsMar24!$C$3:$AG$27,27,FALSE),0)</f>
        <v>0</v>
      </c>
      <c r="AD46" s="38">
        <f>IFERROR(VLOOKUP($C46, ProductsMar24!$C$3:$AG$27,28,FALSE),0)</f>
        <v>3</v>
      </c>
      <c r="AE46" s="38">
        <f>IFERROR(VLOOKUP($C46, ProductsMar24!$C$3:$AG$27,29,FALSE),0)</f>
        <v>0</v>
      </c>
      <c r="AF46" s="38">
        <f>IFERROR(VLOOKUP($C46, ProductsMar24!$C$3:$AG$27,30,FALSE),0)</f>
        <v>0</v>
      </c>
      <c r="AG46" s="38">
        <f>IFERROR(VLOOKUP($C46, ProductsMar24!$C$3:$AG$27,31,FALSE),0)</f>
        <v>0</v>
      </c>
      <c r="AH46" s="38"/>
      <c r="AI46" s="38"/>
      <c r="AJ46" s="13">
        <f t="shared" si="1"/>
        <v>215</v>
      </c>
      <c r="AL46" s="55" t="s">
        <v>153</v>
      </c>
      <c r="AM46" s="56" t="s">
        <v>152</v>
      </c>
      <c r="AN46" s="53">
        <v>16</v>
      </c>
      <c r="AO46" s="53">
        <v>2</v>
      </c>
      <c r="AP46" s="53">
        <v>0</v>
      </c>
      <c r="AQ46" s="53">
        <v>0</v>
      </c>
      <c r="AR46" s="53">
        <v>0</v>
      </c>
      <c r="AS46" s="53">
        <v>0</v>
      </c>
      <c r="AT46" s="53">
        <v>0</v>
      </c>
      <c r="AU46" s="53">
        <v>0</v>
      </c>
      <c r="AV46" s="53">
        <v>0</v>
      </c>
      <c r="AW46" s="53">
        <v>2</v>
      </c>
      <c r="AX46" s="53">
        <v>9</v>
      </c>
      <c r="AY46" s="53">
        <v>3</v>
      </c>
      <c r="AZ46" s="53">
        <v>0</v>
      </c>
      <c r="BA46" s="53">
        <v>0</v>
      </c>
      <c r="BB46" s="53">
        <v>0</v>
      </c>
      <c r="BC46" s="53">
        <v>0</v>
      </c>
      <c r="BD46" s="53">
        <v>0</v>
      </c>
      <c r="BE46" s="53">
        <v>0</v>
      </c>
      <c r="BF46" s="53">
        <v>0</v>
      </c>
      <c r="BG46" s="53">
        <v>0</v>
      </c>
      <c r="BH46" s="53">
        <v>0</v>
      </c>
      <c r="BI46" s="53">
        <v>0</v>
      </c>
      <c r="BJ46" s="53">
        <v>0</v>
      </c>
      <c r="BK46" s="53">
        <v>0</v>
      </c>
      <c r="BL46" s="53">
        <v>0</v>
      </c>
      <c r="BM46" s="53">
        <v>0</v>
      </c>
      <c r="BN46" s="53">
        <v>0</v>
      </c>
      <c r="BO46" s="53">
        <v>0</v>
      </c>
      <c r="BP46" s="53">
        <v>0</v>
      </c>
      <c r="BQ46" s="53">
        <v>0</v>
      </c>
      <c r="BR46" s="52"/>
    </row>
    <row r="47" spans="2:70" ht="16.5" thickTop="1" thickBot="1">
      <c r="B47" s="21" t="s">
        <v>9</v>
      </c>
      <c r="C47" s="2" t="s">
        <v>10</v>
      </c>
      <c r="D47" s="23" t="s">
        <v>100</v>
      </c>
      <c r="E47" s="38">
        <f>IFERROR(VLOOKUP($C47,ProductsMar24!$C$3:$AG$27,4,FALSE),0)</f>
        <v>51</v>
      </c>
      <c r="F47" s="38">
        <f>IFERROR(VLOOKUP($C47, ProductsMar24!$C$3:$AG$27,5,FALSE),0)</f>
        <v>1</v>
      </c>
      <c r="G47" s="38">
        <f>IFERROR(VLOOKUP($C47, ProductsMar24!$C$3:$AG$27,6,FALSE),0)</f>
        <v>7</v>
      </c>
      <c r="H47" s="38">
        <f>IFERROR(VLOOKUP($C47, ProductsMar24!$C$3:$AG$27,7,FALSE),0)</f>
        <v>0</v>
      </c>
      <c r="I47" s="38">
        <f>IFERROR(VLOOKUP($C47, ProductsMar24!$C$3:$AG$27,8,FALSE),0)</f>
        <v>31</v>
      </c>
      <c r="J47" s="38">
        <f>IFERROR(VLOOKUP($C47, ProductsMar24!$C$3:$AG$27,9,FALSE),0)</f>
        <v>18</v>
      </c>
      <c r="K47" s="38">
        <f>IFERROR(VLOOKUP($C47, ProductsMar24!$C$3:$AG$27,10,FALSE),0)</f>
        <v>2166</v>
      </c>
      <c r="L47" s="38">
        <f>IFERROR(VLOOKUP($C47, ProductsMar24!$C$3:$AG$27,11,FALSE),0)</f>
        <v>0</v>
      </c>
      <c r="M47" s="38">
        <f>IFERROR(VLOOKUP($C47, ProductsMar24!$C$3:$AG$27,15,FALSE),0)</f>
        <v>2</v>
      </c>
      <c r="N47" s="38">
        <f>IFERROR(VLOOKUP($C47, ProductsMar24!$C$3:$AG$27,12,FALSE),0)</f>
        <v>11</v>
      </c>
      <c r="O47" s="38">
        <f>IFERROR(VLOOKUP($C47, ProductsMar24!$C$3:$AG$27,13,FALSE),0)</f>
        <v>0</v>
      </c>
      <c r="P47" s="38">
        <f>IFERROR(VLOOKUP($C47, ProductsMar24!$C$3:$AG$27,14,FALSE),0)</f>
        <v>0</v>
      </c>
      <c r="Q47" s="38">
        <f>IFERROR(VLOOKUP($C47, ProductsMar24!$C$3:$AG$27,16,FALSE),0)</f>
        <v>0</v>
      </c>
      <c r="R47" s="38">
        <f>IFERROR(VLOOKUP($C47, ProductsMar24!$C$3:$AG$27,17,FALSE),0)</f>
        <v>0</v>
      </c>
      <c r="S47" s="38">
        <f>IFERROR(VLOOKUP($C47, ProductsMar24!$C$3:$AG$27,18,FALSE),0)</f>
        <v>0</v>
      </c>
      <c r="T47" s="38">
        <v>0</v>
      </c>
      <c r="U47" s="38">
        <f>IFERROR(VLOOKUP($C47, ProductsMar24!$C$3:$AG$27,19,FALSE),0)</f>
        <v>3372</v>
      </c>
      <c r="V47" s="38">
        <f>IFERROR(VLOOKUP($C47, ProductsMar24!$C$3:$AG$27,20,FALSE),0)</f>
        <v>0</v>
      </c>
      <c r="W47" s="38">
        <f>IFERROR(VLOOKUP($C47, ProductsMar24!$C$3:$AG$27,21,FALSE),0)</f>
        <v>0</v>
      </c>
      <c r="X47" s="38">
        <f>IFERROR(VLOOKUP($C47, ProductsMar24!$C$3:$AG$27,22,FALSE),0)</f>
        <v>0</v>
      </c>
      <c r="Y47" s="38">
        <f>IFERROR(VLOOKUP($C47, ProductsMar24!$C$3:$AG$27,23,FALSE),0)</f>
        <v>0</v>
      </c>
      <c r="Z47" s="38">
        <f>IFERROR(VLOOKUP($C47, ProductsMar24!$C$3:$AG$27,24,FALSE),0)</f>
        <v>162</v>
      </c>
      <c r="AA47" s="38">
        <f>IFERROR(VLOOKUP($C47, ProductsMar24!$C$3:$AG$27,25,FALSE),0)</f>
        <v>159</v>
      </c>
      <c r="AB47" s="38">
        <f>IFERROR(VLOOKUP($C47, ProductsMar24!$C$3:$AG$27,26,FALSE),0)</f>
        <v>89</v>
      </c>
      <c r="AC47" s="38">
        <f>IFERROR(VLOOKUP($C47, ProductsMar24!$C$3:$AG$27,27,FALSE),0)</f>
        <v>3854</v>
      </c>
      <c r="AD47" s="38">
        <f>IFERROR(VLOOKUP($C47, ProductsMar24!$C$3:$AG$27,28,FALSE),0)</f>
        <v>1</v>
      </c>
      <c r="AE47" s="38">
        <f>IFERROR(VLOOKUP($C47, ProductsMar24!$C$3:$AG$27,29,FALSE),0)</f>
        <v>187</v>
      </c>
      <c r="AF47" s="38">
        <f>IFERROR(VLOOKUP($C47, ProductsMar24!$C$3:$AG$27,30,FALSE),0)</f>
        <v>0</v>
      </c>
      <c r="AG47" s="38">
        <f>IFERROR(VLOOKUP($C47, ProductsMar24!$C$3:$AG$27,31,FALSE),0)</f>
        <v>0</v>
      </c>
      <c r="AH47" s="38"/>
      <c r="AI47" s="38"/>
      <c r="AJ47" s="13">
        <f t="shared" si="1"/>
        <v>10111</v>
      </c>
      <c r="AL47" s="55" t="s">
        <v>10</v>
      </c>
      <c r="AM47" s="56" t="s">
        <v>100</v>
      </c>
      <c r="AN47" s="53">
        <v>2826</v>
      </c>
      <c r="AO47" s="53">
        <v>25</v>
      </c>
      <c r="AP47" s="53">
        <v>67</v>
      </c>
      <c r="AQ47" s="53">
        <v>0</v>
      </c>
      <c r="AR47" s="53">
        <v>1</v>
      </c>
      <c r="AS47" s="53">
        <v>10</v>
      </c>
      <c r="AT47" s="53">
        <v>15</v>
      </c>
      <c r="AU47" s="53">
        <v>413</v>
      </c>
      <c r="AV47" s="53">
        <v>0</v>
      </c>
      <c r="AW47" s="53">
        <v>9</v>
      </c>
      <c r="AX47" s="53">
        <v>0</v>
      </c>
      <c r="AY47" s="53">
        <v>12</v>
      </c>
      <c r="AZ47" s="53">
        <v>1046</v>
      </c>
      <c r="BA47" s="53">
        <v>5</v>
      </c>
      <c r="BB47" s="53">
        <v>0</v>
      </c>
      <c r="BC47" s="53">
        <v>0</v>
      </c>
      <c r="BD47" s="53">
        <v>0</v>
      </c>
      <c r="BE47" s="53">
        <v>869</v>
      </c>
      <c r="BF47" s="53">
        <v>1</v>
      </c>
      <c r="BG47" s="53">
        <v>0</v>
      </c>
      <c r="BH47" s="53">
        <v>0</v>
      </c>
      <c r="BI47" s="53">
        <v>0</v>
      </c>
      <c r="BJ47" s="53">
        <v>6</v>
      </c>
      <c r="BK47" s="53">
        <v>138</v>
      </c>
      <c r="BL47" s="53">
        <v>0</v>
      </c>
      <c r="BM47" s="53">
        <v>7</v>
      </c>
      <c r="BN47" s="53">
        <v>1</v>
      </c>
      <c r="BO47" s="53">
        <v>200</v>
      </c>
      <c r="BP47" s="53">
        <v>1</v>
      </c>
      <c r="BQ47" s="53">
        <v>0</v>
      </c>
      <c r="BR47" s="52"/>
    </row>
    <row r="48" spans="2:70" ht="16.5" thickTop="1" thickBot="1">
      <c r="B48" s="21" t="s">
        <v>9</v>
      </c>
      <c r="C48" s="2" t="s">
        <v>11</v>
      </c>
      <c r="D48" s="23" t="s">
        <v>101</v>
      </c>
      <c r="E48" s="38">
        <f>IFERROR(VLOOKUP($C48,ProductsMar24!$C$3:$AG$27,4,FALSE),0)</f>
        <v>0</v>
      </c>
      <c r="F48" s="38">
        <f>IFERROR(VLOOKUP($C48, ProductsMar24!$C$3:$AG$27,5,FALSE),0)</f>
        <v>0</v>
      </c>
      <c r="G48" s="38">
        <f>IFERROR(VLOOKUP($C48, ProductsMar24!$C$3:$AG$27,6,FALSE),0)</f>
        <v>0</v>
      </c>
      <c r="H48" s="38">
        <f>IFERROR(VLOOKUP($C48, ProductsMar24!$C$3:$AG$27,7,FALSE),0)</f>
        <v>0</v>
      </c>
      <c r="I48" s="38">
        <f>IFERROR(VLOOKUP($C48, ProductsMar24!$C$3:$AG$27,8,FALSE),0)</f>
        <v>0</v>
      </c>
      <c r="J48" s="38">
        <f>IFERROR(VLOOKUP($C48, ProductsMar24!$C$3:$AG$27,9,FALSE),0)</f>
        <v>0</v>
      </c>
      <c r="K48" s="38">
        <f>IFERROR(VLOOKUP($C48, ProductsMar24!$C$3:$AG$27,10,FALSE),0)</f>
        <v>0</v>
      </c>
      <c r="L48" s="38">
        <f>IFERROR(VLOOKUP($C48, ProductsMar24!$C$3:$AG$27,11,FALSE),0)</f>
        <v>0</v>
      </c>
      <c r="M48" s="38">
        <f>IFERROR(VLOOKUP($C48, ProductsMar24!$C$3:$AG$27,15,FALSE),0)</f>
        <v>0</v>
      </c>
      <c r="N48" s="38">
        <f>IFERROR(VLOOKUP($C48, ProductsMar24!$C$3:$AG$27,12,FALSE),0)</f>
        <v>0</v>
      </c>
      <c r="O48" s="38">
        <f>IFERROR(VLOOKUP($C48, ProductsMar24!$C$3:$AG$27,13,FALSE),0)</f>
        <v>3</v>
      </c>
      <c r="P48" s="38">
        <f>IFERROR(VLOOKUP($C48, ProductsMar24!$C$3:$AG$27,14,FALSE),0)</f>
        <v>0</v>
      </c>
      <c r="Q48" s="38">
        <f>IFERROR(VLOOKUP($C48, ProductsMar24!$C$3:$AG$27,16,FALSE),0)</f>
        <v>0</v>
      </c>
      <c r="R48" s="38">
        <f>IFERROR(VLOOKUP($C48, ProductsMar24!$C$3:$AG$27,17,FALSE),0)</f>
        <v>0</v>
      </c>
      <c r="S48" s="38">
        <f>IFERROR(VLOOKUP($C48, ProductsMar24!$C$3:$AG$27,18,FALSE),0)</f>
        <v>0</v>
      </c>
      <c r="T48" s="38">
        <v>0</v>
      </c>
      <c r="U48" s="38">
        <f>IFERROR(VLOOKUP($C48, ProductsMar24!$C$3:$AG$27,19,FALSE),0)</f>
        <v>0</v>
      </c>
      <c r="V48" s="38">
        <f>IFERROR(VLOOKUP($C48, ProductsMar24!$C$3:$AG$27,20,FALSE),0)</f>
        <v>0</v>
      </c>
      <c r="W48" s="38">
        <f>IFERROR(VLOOKUP($C48, ProductsMar24!$C$3:$AG$27,21,FALSE),0)</f>
        <v>0</v>
      </c>
      <c r="X48" s="38">
        <f>IFERROR(VLOOKUP($C48, ProductsMar24!$C$3:$AG$27,22,FALSE),0)</f>
        <v>0</v>
      </c>
      <c r="Y48" s="38">
        <f>IFERROR(VLOOKUP($C48, ProductsMar24!$C$3:$AG$27,23,FALSE),0)</f>
        <v>0</v>
      </c>
      <c r="Z48" s="38">
        <f>IFERROR(VLOOKUP($C48, ProductsMar24!$C$3:$AG$27,24,FALSE),0)</f>
        <v>0</v>
      </c>
      <c r="AA48" s="38">
        <f>IFERROR(VLOOKUP($C48, ProductsMar24!$C$3:$AG$27,25,FALSE),0)</f>
        <v>0</v>
      </c>
      <c r="AB48" s="38">
        <f>IFERROR(VLOOKUP($C48, ProductsMar24!$C$3:$AG$27,26,FALSE),0)</f>
        <v>0</v>
      </c>
      <c r="AC48" s="38">
        <f>IFERROR(VLOOKUP($C48, ProductsMar24!$C$3:$AG$27,27,FALSE),0)</f>
        <v>0</v>
      </c>
      <c r="AD48" s="38">
        <f>IFERROR(VLOOKUP($C48, ProductsMar24!$C$3:$AG$27,28,FALSE),0)</f>
        <v>0</v>
      </c>
      <c r="AE48" s="38">
        <f>IFERROR(VLOOKUP($C48, ProductsMar24!$C$3:$AG$27,29,FALSE),0)</f>
        <v>49</v>
      </c>
      <c r="AF48" s="38">
        <f>IFERROR(VLOOKUP($C48, ProductsMar24!$C$3:$AG$27,30,FALSE),0)</f>
        <v>0</v>
      </c>
      <c r="AG48" s="38">
        <f>IFERROR(VLOOKUP($C48, ProductsMar24!$C$3:$AG$27,31,FALSE),0)</f>
        <v>0</v>
      </c>
      <c r="AH48" s="38"/>
      <c r="AI48" s="38"/>
      <c r="AJ48" s="13">
        <f t="shared" si="1"/>
        <v>52</v>
      </c>
      <c r="AL48" s="55" t="s">
        <v>7</v>
      </c>
      <c r="AM48" s="56" t="s">
        <v>141</v>
      </c>
      <c r="AN48" s="53">
        <v>646</v>
      </c>
      <c r="AO48" s="53">
        <v>5</v>
      </c>
      <c r="AP48" s="53">
        <v>123</v>
      </c>
      <c r="AQ48" s="53">
        <v>0</v>
      </c>
      <c r="AR48" s="53">
        <v>0</v>
      </c>
      <c r="AS48" s="53">
        <v>8</v>
      </c>
      <c r="AT48" s="53">
        <v>19</v>
      </c>
      <c r="AU48" s="53">
        <v>36</v>
      </c>
      <c r="AV48" s="53">
        <v>154</v>
      </c>
      <c r="AW48" s="53">
        <v>26</v>
      </c>
      <c r="AX48" s="53">
        <v>0</v>
      </c>
      <c r="AY48" s="53">
        <v>73</v>
      </c>
      <c r="AZ48" s="53">
        <v>3</v>
      </c>
      <c r="BA48" s="53">
        <v>0</v>
      </c>
      <c r="BB48" s="53">
        <v>0</v>
      </c>
      <c r="BC48" s="53">
        <v>2</v>
      </c>
      <c r="BD48" s="53">
        <v>4</v>
      </c>
      <c r="BE48" s="53">
        <v>154</v>
      </c>
      <c r="BF48" s="53">
        <v>9</v>
      </c>
      <c r="BG48" s="53">
        <v>0</v>
      </c>
      <c r="BH48" s="53">
        <v>0</v>
      </c>
      <c r="BI48" s="53">
        <v>0</v>
      </c>
      <c r="BJ48" s="53">
        <v>22</v>
      </c>
      <c r="BK48" s="53">
        <v>0</v>
      </c>
      <c r="BL48" s="53">
        <v>0</v>
      </c>
      <c r="BM48" s="53">
        <v>0</v>
      </c>
      <c r="BN48" s="53">
        <v>0</v>
      </c>
      <c r="BO48" s="53">
        <v>8</v>
      </c>
      <c r="BP48" s="53">
        <v>0</v>
      </c>
      <c r="BQ48" s="53">
        <v>0</v>
      </c>
      <c r="BR48" s="52"/>
    </row>
    <row r="49" spans="2:70" ht="16.5" thickTop="1" thickBot="1">
      <c r="B49" s="21" t="s">
        <v>12</v>
      </c>
      <c r="C49" s="2" t="s">
        <v>13</v>
      </c>
      <c r="D49" s="23" t="s">
        <v>102</v>
      </c>
      <c r="E49" s="38">
        <f>IFERROR(VLOOKUP($C49,ProductsMar24!$C$3:$AG$27,4,FALSE),0)</f>
        <v>0</v>
      </c>
      <c r="F49" s="38">
        <f>IFERROR(VLOOKUP($C49, ProductsMar24!$C$3:$AG$27,5,FALSE),0)</f>
        <v>1323</v>
      </c>
      <c r="G49" s="38">
        <f>IFERROR(VLOOKUP($C49, ProductsMar24!$C$3:$AG$27,6,FALSE),0)</f>
        <v>0</v>
      </c>
      <c r="H49" s="38">
        <f>IFERROR(VLOOKUP($C49, ProductsMar24!$C$3:$AG$27,7,FALSE),0)</f>
        <v>33</v>
      </c>
      <c r="I49" s="38">
        <f>IFERROR(VLOOKUP($C49, ProductsMar24!$C$3:$AG$27,8,FALSE),0)</f>
        <v>0</v>
      </c>
      <c r="J49" s="38">
        <f>IFERROR(VLOOKUP($C49, ProductsMar24!$C$3:$AG$27,9,FALSE),0)</f>
        <v>137</v>
      </c>
      <c r="K49" s="38">
        <f>IFERROR(VLOOKUP($C49, ProductsMar24!$C$3:$AG$27,10,FALSE),0)</f>
        <v>664</v>
      </c>
      <c r="L49" s="38">
        <f>IFERROR(VLOOKUP($C49, ProductsMar24!$C$3:$AG$27,11,FALSE),0)</f>
        <v>60</v>
      </c>
      <c r="M49" s="38">
        <f>IFERROR(VLOOKUP($C49, ProductsMar24!$C$3:$AG$27,15,FALSE),0)</f>
        <v>339</v>
      </c>
      <c r="N49" s="38">
        <f>IFERROR(VLOOKUP($C49, ProductsMar24!$C$3:$AG$27,12,FALSE),0)</f>
        <v>540</v>
      </c>
      <c r="O49" s="38">
        <f>IFERROR(VLOOKUP($C49, ProductsMar24!$C$3:$AG$27,13,FALSE),0)</f>
        <v>7</v>
      </c>
      <c r="P49" s="38">
        <f>IFERROR(VLOOKUP($C49, ProductsMar24!$C$3:$AG$27,14,FALSE),0)</f>
        <v>9444</v>
      </c>
      <c r="Q49" s="38">
        <f>IFERROR(VLOOKUP($C49, ProductsMar24!$C$3:$AG$27,16,FALSE),0)</f>
        <v>0</v>
      </c>
      <c r="R49" s="38">
        <f>IFERROR(VLOOKUP($C49, ProductsMar24!$C$3:$AG$27,17,FALSE),0)</f>
        <v>0</v>
      </c>
      <c r="S49" s="38">
        <f>IFERROR(VLOOKUP($C49, ProductsMar24!$C$3:$AG$27,18,FALSE),0)</f>
        <v>0</v>
      </c>
      <c r="T49" s="38">
        <v>0</v>
      </c>
      <c r="U49" s="38">
        <f>IFERROR(VLOOKUP($C49, ProductsMar24!$C$3:$AG$27,19,FALSE),0)</f>
        <v>1306</v>
      </c>
      <c r="V49" s="38">
        <f>IFERROR(VLOOKUP($C49, ProductsMar24!$C$3:$AG$27,20,FALSE),0)</f>
        <v>42</v>
      </c>
      <c r="W49" s="38">
        <f>IFERROR(VLOOKUP($C49, ProductsMar24!$C$3:$AG$27,21,FALSE),0)</f>
        <v>2</v>
      </c>
      <c r="X49" s="38">
        <f>IFERROR(VLOOKUP($C49, ProductsMar24!$C$3:$AG$27,22,FALSE),0)</f>
        <v>0</v>
      </c>
      <c r="Y49" s="38">
        <f>IFERROR(VLOOKUP($C49, ProductsMar24!$C$3:$AG$27,23,FALSE),0)</f>
        <v>0</v>
      </c>
      <c r="Z49" s="38">
        <f>IFERROR(VLOOKUP($C49, ProductsMar24!$C$3:$AG$27,24,FALSE),0)</f>
        <v>152</v>
      </c>
      <c r="AA49" s="38">
        <f>IFERROR(VLOOKUP($C49, ProductsMar24!$C$3:$AG$27,25,FALSE),0)</f>
        <v>0</v>
      </c>
      <c r="AB49" s="38">
        <f>IFERROR(VLOOKUP($C49, ProductsMar24!$C$3:$AG$27,26,FALSE),0)</f>
        <v>528</v>
      </c>
      <c r="AC49" s="38">
        <f>IFERROR(VLOOKUP($C49, ProductsMar24!$C$3:$AG$27,27,FALSE),0)</f>
        <v>60</v>
      </c>
      <c r="AD49" s="38">
        <f>IFERROR(VLOOKUP($C49, ProductsMar24!$C$3:$AG$27,28,FALSE),0)</f>
        <v>20</v>
      </c>
      <c r="AE49" s="38">
        <f>IFERROR(VLOOKUP($C49, ProductsMar24!$C$3:$AG$27,29,FALSE),0)</f>
        <v>1231</v>
      </c>
      <c r="AF49" s="38">
        <f>IFERROR(VLOOKUP($C49, ProductsMar24!$C$3:$AG$27,30,FALSE),0)</f>
        <v>0</v>
      </c>
      <c r="AG49" s="38">
        <f>IFERROR(VLOOKUP($C49, ProductsMar24!$C$3:$AG$27,31,FALSE),0)</f>
        <v>0</v>
      </c>
      <c r="AH49" s="38"/>
      <c r="AI49" s="38"/>
      <c r="AJ49" s="13">
        <f t="shared" si="1"/>
        <v>15888</v>
      </c>
      <c r="AL49" s="55" t="s">
        <v>22</v>
      </c>
      <c r="AM49" s="56" t="s">
        <v>109</v>
      </c>
      <c r="AN49" s="53">
        <v>220</v>
      </c>
      <c r="AO49" s="53">
        <v>0</v>
      </c>
      <c r="AP49" s="53">
        <v>48</v>
      </c>
      <c r="AQ49" s="53">
        <v>0</v>
      </c>
      <c r="AR49" s="53">
        <v>0</v>
      </c>
      <c r="AS49" s="53">
        <v>23</v>
      </c>
      <c r="AT49" s="53">
        <v>0</v>
      </c>
      <c r="AU49" s="53">
        <v>0</v>
      </c>
      <c r="AV49" s="53">
        <v>0</v>
      </c>
      <c r="AW49" s="53">
        <v>0</v>
      </c>
      <c r="AX49" s="53">
        <v>0</v>
      </c>
      <c r="AY49" s="53">
        <v>96</v>
      </c>
      <c r="AZ49" s="53">
        <v>3</v>
      </c>
      <c r="BA49" s="53">
        <v>0</v>
      </c>
      <c r="BB49" s="53">
        <v>0</v>
      </c>
      <c r="BC49" s="53">
        <v>0</v>
      </c>
      <c r="BD49" s="53">
        <v>0</v>
      </c>
      <c r="BE49" s="53">
        <v>3</v>
      </c>
      <c r="BF49" s="53">
        <v>0</v>
      </c>
      <c r="BG49" s="53">
        <v>0</v>
      </c>
      <c r="BH49" s="53">
        <v>0</v>
      </c>
      <c r="BI49" s="53">
        <v>0</v>
      </c>
      <c r="BJ49" s="53">
        <v>0</v>
      </c>
      <c r="BK49" s="53">
        <v>0</v>
      </c>
      <c r="BL49" s="53">
        <v>46</v>
      </c>
      <c r="BM49" s="53">
        <v>0</v>
      </c>
      <c r="BN49" s="53">
        <v>0</v>
      </c>
      <c r="BO49" s="53">
        <v>1</v>
      </c>
      <c r="BP49" s="53">
        <v>0</v>
      </c>
      <c r="BQ49" s="53">
        <v>0</v>
      </c>
      <c r="BR49" s="52"/>
    </row>
    <row r="50" spans="2:70" ht="16.5" thickTop="1" thickBot="1">
      <c r="B50" s="21" t="s">
        <v>30</v>
      </c>
      <c r="C50" s="2" t="s">
        <v>130</v>
      </c>
      <c r="D50" s="23" t="s">
        <v>103</v>
      </c>
      <c r="E50" s="38">
        <f>IFERROR(VLOOKUP($C50,ProductsMar24!$C$3:$AG$27,4,FALSE),0)</f>
        <v>0</v>
      </c>
      <c r="F50" s="38">
        <f>IFERROR(VLOOKUP($C50, ProductsMar24!$C$3:$AG$27,5,FALSE),0)</f>
        <v>0</v>
      </c>
      <c r="G50" s="38">
        <f>IFERROR(VLOOKUP($C50, ProductsMar24!$C$3:$AG$27,6,FALSE),0)</f>
        <v>0</v>
      </c>
      <c r="H50" s="38">
        <f>IFERROR(VLOOKUP($C50, ProductsMar24!$C$3:$AG$27,7,FALSE),0)</f>
        <v>0</v>
      </c>
      <c r="I50" s="38">
        <f>IFERROR(VLOOKUP($C50, ProductsMar24!$C$3:$AG$27,8,FALSE),0)</f>
        <v>0</v>
      </c>
      <c r="J50" s="38">
        <f>IFERROR(VLOOKUP($C50, ProductsMar24!$C$3:$AG$27,9,FALSE),0)</f>
        <v>0</v>
      </c>
      <c r="K50" s="38">
        <f>IFERROR(VLOOKUP($C50, ProductsMar24!$C$3:$AG$27,10,FALSE),0)</f>
        <v>0</v>
      </c>
      <c r="L50" s="38">
        <f>IFERROR(VLOOKUP($C50, ProductsMar24!$C$3:$AG$27,11,FALSE),0)</f>
        <v>0</v>
      </c>
      <c r="M50" s="38">
        <f>IFERROR(VLOOKUP($C50, ProductsMar24!$C$3:$AG$27,15,FALSE),0)</f>
        <v>0</v>
      </c>
      <c r="N50" s="38">
        <f>IFERROR(VLOOKUP($C50, ProductsMar24!$C$3:$AG$27,12,FALSE),0)</f>
        <v>3</v>
      </c>
      <c r="O50" s="38">
        <f>IFERROR(VLOOKUP($C50, ProductsMar24!$C$3:$AG$27,13,FALSE),0)</f>
        <v>0</v>
      </c>
      <c r="P50" s="38">
        <f>IFERROR(VLOOKUP($C50, ProductsMar24!$C$3:$AG$27,14,FALSE),0)</f>
        <v>0</v>
      </c>
      <c r="Q50" s="38">
        <f>IFERROR(VLOOKUP($C50, ProductsMar24!$C$3:$AG$27,16,FALSE),0)</f>
        <v>0</v>
      </c>
      <c r="R50" s="38">
        <f>IFERROR(VLOOKUP($C50, ProductsMar24!$C$3:$AG$27,17,FALSE),0)</f>
        <v>0</v>
      </c>
      <c r="S50" s="38">
        <f>IFERROR(VLOOKUP($C50, ProductsMar24!$C$3:$AG$27,18,FALSE),0)</f>
        <v>0</v>
      </c>
      <c r="T50" s="38">
        <v>0</v>
      </c>
      <c r="U50" s="38">
        <f>IFERROR(VLOOKUP($C50, ProductsMar24!$C$3:$AG$27,19,FALSE),0)</f>
        <v>0</v>
      </c>
      <c r="V50" s="38">
        <f>IFERROR(VLOOKUP($C50, ProductsMar24!$C$3:$AG$27,20,FALSE),0)</f>
        <v>0</v>
      </c>
      <c r="W50" s="38">
        <f>IFERROR(VLOOKUP($C50, ProductsMar24!$C$3:$AG$27,21,FALSE),0)</f>
        <v>0</v>
      </c>
      <c r="X50" s="38">
        <f>IFERROR(VLOOKUP($C50, ProductsMar24!$C$3:$AG$27,22,FALSE),0)</f>
        <v>0</v>
      </c>
      <c r="Y50" s="38">
        <f>IFERROR(VLOOKUP($C50, ProductsMar24!$C$3:$AG$27,23,FALSE),0)</f>
        <v>0</v>
      </c>
      <c r="Z50" s="38">
        <f>IFERROR(VLOOKUP($C50, ProductsMar24!$C$3:$AG$27,24,FALSE),0)</f>
        <v>0</v>
      </c>
      <c r="AA50" s="38">
        <f>IFERROR(VLOOKUP($C50, ProductsMar24!$C$3:$AG$27,25,FALSE),0)</f>
        <v>0</v>
      </c>
      <c r="AB50" s="38">
        <f>IFERROR(VLOOKUP($C50, ProductsMar24!$C$3:$AG$27,26,FALSE),0)</f>
        <v>0</v>
      </c>
      <c r="AC50" s="38">
        <f>IFERROR(VLOOKUP($C50, ProductsMar24!$C$3:$AG$27,27,FALSE),0)</f>
        <v>0</v>
      </c>
      <c r="AD50" s="38">
        <f>IFERROR(VLOOKUP($C50, ProductsMar24!$C$3:$AG$27,28,FALSE),0)</f>
        <v>0</v>
      </c>
      <c r="AE50" s="38">
        <f>IFERROR(VLOOKUP($C50, ProductsMar24!$C$3:$AG$27,29,FALSE),0)</f>
        <v>0</v>
      </c>
      <c r="AF50" s="38">
        <f>IFERROR(VLOOKUP($C50, ProductsMar24!$C$3:$AG$27,30,FALSE),0)</f>
        <v>0</v>
      </c>
      <c r="AG50" s="38">
        <f>IFERROR(VLOOKUP($C50, ProductsMar24!$C$3:$AG$27,31,FALSE),0)</f>
        <v>0</v>
      </c>
      <c r="AH50" s="38"/>
      <c r="AI50" s="38"/>
      <c r="AJ50" s="13">
        <f t="shared" si="1"/>
        <v>3</v>
      </c>
      <c r="AL50" s="55"/>
      <c r="AM50" s="56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2"/>
    </row>
    <row r="51" spans="2:70" ht="16.5" thickTop="1" thickBot="1">
      <c r="B51" s="21" t="s">
        <v>29</v>
      </c>
      <c r="C51" s="2" t="s">
        <v>24</v>
      </c>
      <c r="D51" s="2"/>
      <c r="E51" s="38">
        <f>IFERROR(VLOOKUP($C51,ProductsMar24!$C$3:$AG$27,4,FALSE),0)</f>
        <v>4</v>
      </c>
      <c r="F51" s="38">
        <f>IFERROR(VLOOKUP($C51, ProductsMar24!$C$3:$AG$27,5,FALSE),0)</f>
        <v>0</v>
      </c>
      <c r="G51" s="38">
        <f>IFERROR(VLOOKUP($C51, ProductsMar24!$C$3:$AG$27,6,FALSE),0)</f>
        <v>0</v>
      </c>
      <c r="H51" s="38">
        <f>IFERROR(VLOOKUP($C51, ProductsMar24!$C$3:$AG$27,7,FALSE),0)</f>
        <v>0</v>
      </c>
      <c r="I51" s="38">
        <f>IFERROR(VLOOKUP($C51, ProductsMar24!$C$3:$AG$27,8,FALSE),0)</f>
        <v>0</v>
      </c>
      <c r="J51" s="38">
        <f>IFERROR(VLOOKUP($C51, ProductsMar24!$C$3:$AG$27,9,FALSE),0)</f>
        <v>441</v>
      </c>
      <c r="K51" s="38">
        <f>IFERROR(VLOOKUP($C51, ProductsMar24!$C$3:$AG$27,10,FALSE),0)</f>
        <v>0</v>
      </c>
      <c r="L51" s="38">
        <f>IFERROR(VLOOKUP($C51, ProductsMar24!$C$3:$AG$27,11,FALSE),0)</f>
        <v>0</v>
      </c>
      <c r="M51" s="38">
        <f>IFERROR(VLOOKUP($C51, ProductsMar24!$C$3:$AG$27,15,FALSE),0)</f>
        <v>0</v>
      </c>
      <c r="N51" s="38">
        <f>IFERROR(VLOOKUP($C51, ProductsMar24!$C$3:$AG$27,12,FALSE),0)</f>
        <v>4</v>
      </c>
      <c r="O51" s="38">
        <f>IFERROR(VLOOKUP($C51, ProductsMar24!$C$3:$AG$27,13,FALSE),0)</f>
        <v>0</v>
      </c>
      <c r="P51" s="38">
        <f>IFERROR(VLOOKUP($C51, ProductsMar24!$C$3:$AG$27,14,FALSE),0)</f>
        <v>0</v>
      </c>
      <c r="Q51" s="38">
        <f>IFERROR(VLOOKUP($C51, ProductsMar24!$C$3:$AG$27,16,FALSE),0)</f>
        <v>0</v>
      </c>
      <c r="R51" s="38">
        <f>IFERROR(VLOOKUP($C51, ProductsMar24!$C$3:$AG$27,17,FALSE),0)</f>
        <v>0</v>
      </c>
      <c r="S51" s="38">
        <f>IFERROR(VLOOKUP($C51, ProductsMar24!$C$3:$AG$27,18,FALSE),0)</f>
        <v>0</v>
      </c>
      <c r="T51" s="38">
        <v>0</v>
      </c>
      <c r="U51" s="38">
        <f>IFERROR(VLOOKUP($C51, ProductsMar24!$C$3:$AG$27,19,FALSE),0)</f>
        <v>0</v>
      </c>
      <c r="V51" s="38">
        <f>IFERROR(VLOOKUP($C51, ProductsMar24!$C$3:$AG$27,20,FALSE),0)</f>
        <v>0</v>
      </c>
      <c r="W51" s="38">
        <f>IFERROR(VLOOKUP($C51, ProductsMar24!$C$3:$AG$27,21,FALSE),0)</f>
        <v>0</v>
      </c>
      <c r="X51" s="38">
        <f>IFERROR(VLOOKUP($C51, ProductsMar24!$C$3:$AG$27,22,FALSE),0)</f>
        <v>0</v>
      </c>
      <c r="Y51" s="38">
        <f>IFERROR(VLOOKUP($C51, ProductsMar24!$C$3:$AG$27,23,FALSE),0)</f>
        <v>0</v>
      </c>
      <c r="Z51" s="38">
        <f>IFERROR(VLOOKUP($C51, ProductsMar24!$C$3:$AG$27,24,FALSE),0)</f>
        <v>0</v>
      </c>
      <c r="AA51" s="38">
        <f>IFERROR(VLOOKUP($C51, ProductsMar24!$C$3:$AG$27,25,FALSE),0)</f>
        <v>0</v>
      </c>
      <c r="AB51" s="38">
        <f>IFERROR(VLOOKUP($C51, ProductsMar24!$C$3:$AG$27,26,FALSE),0)</f>
        <v>0</v>
      </c>
      <c r="AC51" s="38">
        <f>IFERROR(VLOOKUP($C51, ProductsMar24!$C$3:$AG$27,27,FALSE),0)</f>
        <v>0</v>
      </c>
      <c r="AD51" s="38">
        <f>IFERROR(VLOOKUP($C51, ProductsMar24!$C$3:$AG$27,28,FALSE),0)</f>
        <v>0</v>
      </c>
      <c r="AE51" s="38">
        <f>IFERROR(VLOOKUP($C51, ProductsMar24!$C$3:$AG$27,29,FALSE),0)</f>
        <v>1896</v>
      </c>
      <c r="AF51" s="38">
        <f>IFERROR(VLOOKUP($C51, ProductsMar24!$C$3:$AG$27,30,FALSE),0)</f>
        <v>0</v>
      </c>
      <c r="AG51" s="38">
        <f>IFERROR(VLOOKUP($C51, ProductsMar24!$C$3:$AG$27,31,FALSE),0)</f>
        <v>0</v>
      </c>
      <c r="AH51" s="38"/>
      <c r="AI51" s="38"/>
      <c r="AJ51" s="13">
        <f t="shared" si="1"/>
        <v>2345</v>
      </c>
      <c r="AL51" s="55" t="s">
        <v>5</v>
      </c>
      <c r="AM51" s="56" t="s">
        <v>95</v>
      </c>
      <c r="AN51" s="53">
        <v>293</v>
      </c>
      <c r="AO51" s="53">
        <v>11</v>
      </c>
      <c r="AP51" s="53">
        <v>13</v>
      </c>
      <c r="AQ51" s="53">
        <v>0</v>
      </c>
      <c r="AR51" s="53">
        <v>0</v>
      </c>
      <c r="AS51" s="53">
        <v>1</v>
      </c>
      <c r="AT51" s="53">
        <v>12</v>
      </c>
      <c r="AU51" s="53">
        <v>53</v>
      </c>
      <c r="AV51" s="53">
        <v>6</v>
      </c>
      <c r="AW51" s="53">
        <v>22</v>
      </c>
      <c r="AX51" s="53">
        <v>0</v>
      </c>
      <c r="AY51" s="53">
        <v>114</v>
      </c>
      <c r="AZ51" s="53">
        <v>0</v>
      </c>
      <c r="BA51" s="53">
        <v>0</v>
      </c>
      <c r="BB51" s="53">
        <v>0</v>
      </c>
      <c r="BC51" s="53">
        <v>1</v>
      </c>
      <c r="BD51" s="53">
        <v>0</v>
      </c>
      <c r="BE51" s="53">
        <v>34</v>
      </c>
      <c r="BF51" s="53">
        <v>3</v>
      </c>
      <c r="BG51" s="53">
        <v>7</v>
      </c>
      <c r="BH51" s="53">
        <v>0</v>
      </c>
      <c r="BI51" s="53">
        <v>0</v>
      </c>
      <c r="BJ51" s="53">
        <v>14</v>
      </c>
      <c r="BK51" s="53">
        <v>0</v>
      </c>
      <c r="BL51" s="53">
        <v>1</v>
      </c>
      <c r="BM51" s="53">
        <v>0</v>
      </c>
      <c r="BN51" s="53">
        <v>0</v>
      </c>
      <c r="BO51" s="53">
        <v>0</v>
      </c>
      <c r="BP51" s="53">
        <v>1</v>
      </c>
      <c r="BQ51" s="53">
        <v>0</v>
      </c>
      <c r="BR51" s="52"/>
    </row>
    <row r="52" spans="2:70" ht="16.5" thickTop="1" thickBot="1">
      <c r="B52" s="21" t="s">
        <v>29</v>
      </c>
      <c r="C52" s="2" t="s">
        <v>173</v>
      </c>
      <c r="D52" s="23" t="s">
        <v>104</v>
      </c>
      <c r="E52" s="38">
        <f>IFERROR(VLOOKUP($C52,ProductsMar24!$C$3:$AG$27,4,FALSE),0)</f>
        <v>0</v>
      </c>
      <c r="F52" s="38">
        <f>IFERROR(VLOOKUP($C52, ProductsMar24!$C$3:$AG$27,5,FALSE),0)</f>
        <v>0</v>
      </c>
      <c r="G52" s="38">
        <f>IFERROR(VLOOKUP($C52, ProductsMar24!$C$3:$AG$27,6,FALSE),0)</f>
        <v>0</v>
      </c>
      <c r="H52" s="38">
        <f>IFERROR(VLOOKUP($C52, ProductsMar24!$C$3:$AG$27,7,FALSE),0)</f>
        <v>0</v>
      </c>
      <c r="I52" s="38">
        <f>IFERROR(VLOOKUP($C52, ProductsMar24!$C$3:$AG$27,8,FALSE),0)</f>
        <v>4981</v>
      </c>
      <c r="J52" s="38">
        <f>IFERROR(VLOOKUP($C52, ProductsMar24!$C$3:$AG$27,9,FALSE),0)</f>
        <v>0</v>
      </c>
      <c r="K52" s="38">
        <f>IFERROR(VLOOKUP($C52, ProductsMar24!$C$3:$AG$27,10,FALSE),0)</f>
        <v>0</v>
      </c>
      <c r="L52" s="38">
        <f>IFERROR(VLOOKUP($C52, ProductsMar24!$C$3:$AG$27,11,FALSE),0)</f>
        <v>0</v>
      </c>
      <c r="M52" s="38">
        <f>IFERROR(VLOOKUP($C52, ProductsMar24!$C$3:$AG$27,15,FALSE),0)</f>
        <v>0</v>
      </c>
      <c r="N52" s="38">
        <f>IFERROR(VLOOKUP($C52, ProductsMar24!$C$3:$AG$27,12,FALSE),0)</f>
        <v>16</v>
      </c>
      <c r="O52" s="38">
        <f>IFERROR(VLOOKUP($C52, ProductsMar24!$C$3:$AG$27,13,FALSE),0)</f>
        <v>0</v>
      </c>
      <c r="P52" s="38">
        <f>IFERROR(VLOOKUP($C52, ProductsMar24!$C$3:$AG$27,14,FALSE),0)</f>
        <v>0</v>
      </c>
      <c r="Q52" s="38">
        <f>IFERROR(VLOOKUP($C52, ProductsMar24!$C$3:$AG$27,16,FALSE),0)</f>
        <v>0</v>
      </c>
      <c r="R52" s="38">
        <f>IFERROR(VLOOKUP($C52, ProductsMar24!$C$3:$AG$27,17,FALSE),0)</f>
        <v>0</v>
      </c>
      <c r="S52" s="38">
        <f>IFERROR(VLOOKUP($C52, ProductsMar24!$C$3:$AG$27,18,FALSE),0)</f>
        <v>0</v>
      </c>
      <c r="T52" s="38"/>
      <c r="U52" s="38">
        <f>IFERROR(VLOOKUP($C52, ProductsMar24!$C$3:$AG$27,19,FALSE),0)</f>
        <v>0</v>
      </c>
      <c r="V52" s="38">
        <f>IFERROR(VLOOKUP($C52, ProductsMar24!$C$3:$AG$27,20,FALSE),0)</f>
        <v>0</v>
      </c>
      <c r="W52" s="38">
        <f>IFERROR(VLOOKUP($C52, ProductsMar24!$C$3:$AG$27,21,FALSE),0)</f>
        <v>0</v>
      </c>
      <c r="X52" s="38">
        <f>IFERROR(VLOOKUP($C52, ProductsMar24!$C$3:$AG$27,22,FALSE),0)</f>
        <v>0</v>
      </c>
      <c r="Y52" s="38">
        <f>IFERROR(VLOOKUP($C52, ProductsMar24!$C$3:$AG$27,23,FALSE),0)</f>
        <v>0</v>
      </c>
      <c r="Z52" s="38">
        <f>IFERROR(VLOOKUP($C52, ProductsMar24!$C$3:$AG$27,24,FALSE),0)</f>
        <v>0</v>
      </c>
      <c r="AA52" s="38">
        <f>IFERROR(VLOOKUP($C52, ProductsMar24!$C$3:$AG$27,25,FALSE),0)</f>
        <v>0</v>
      </c>
      <c r="AB52" s="38">
        <f>IFERROR(VLOOKUP($C52, ProductsMar24!$C$3:$AG$27,26,FALSE),0)</f>
        <v>0</v>
      </c>
      <c r="AC52" s="38">
        <f>IFERROR(VLOOKUP($C52, ProductsMar24!$C$3:$AG$27,27,FALSE),0)</f>
        <v>0</v>
      </c>
      <c r="AD52" s="38">
        <f>IFERROR(VLOOKUP($C52, ProductsMar24!$C$3:$AG$27,28,FALSE),0)</f>
        <v>0</v>
      </c>
      <c r="AE52" s="38">
        <f>IFERROR(VLOOKUP($C52, ProductsMar24!$C$3:$AG$27,29,FALSE),0)</f>
        <v>0</v>
      </c>
      <c r="AF52" s="38">
        <f>IFERROR(VLOOKUP($C52, ProductsMar24!$C$3:$AG$27,30,FALSE),0)</f>
        <v>0</v>
      </c>
      <c r="AG52" s="38">
        <f>IFERROR(VLOOKUP($C52, ProductsMar24!$C$3:$AG$27,31,FALSE),0)</f>
        <v>0</v>
      </c>
      <c r="AH52" s="38"/>
      <c r="AI52" s="38"/>
      <c r="AJ52" s="13">
        <f t="shared" si="1"/>
        <v>4997</v>
      </c>
      <c r="AL52" s="55"/>
      <c r="AM52" s="56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2"/>
    </row>
    <row r="53" spans="2:70" ht="25.5" thickTop="1" thickBot="1">
      <c r="B53" s="21" t="s">
        <v>16</v>
      </c>
      <c r="C53" s="2" t="s">
        <v>26</v>
      </c>
      <c r="D53" s="23" t="s">
        <v>105</v>
      </c>
      <c r="E53" s="38">
        <f>IFERROR(VLOOKUP($C53,ProductsMar24!$C$3:$AG$27,4,FALSE),0)</f>
        <v>2</v>
      </c>
      <c r="F53" s="38">
        <f>IFERROR(VLOOKUP($C53, ProductsMar24!$C$3:$AG$27,5,FALSE),0)</f>
        <v>0</v>
      </c>
      <c r="G53" s="38">
        <f>IFERROR(VLOOKUP($C53, ProductsMar24!$C$3:$AG$27,6,FALSE),0)</f>
        <v>0</v>
      </c>
      <c r="H53" s="38">
        <f>IFERROR(VLOOKUP($C53, ProductsMar24!$C$3:$AG$27,7,FALSE),0)</f>
        <v>0</v>
      </c>
      <c r="I53" s="38">
        <f>IFERROR(VLOOKUP($C53, ProductsMar24!$C$3:$AG$27,8,FALSE),0)</f>
        <v>8</v>
      </c>
      <c r="J53" s="38">
        <f>IFERROR(VLOOKUP($C53, ProductsMar24!$C$3:$AG$27,9,FALSE),0)</f>
        <v>2</v>
      </c>
      <c r="K53" s="38">
        <f>IFERROR(VLOOKUP($C53, ProductsMar24!$C$3:$AG$27,10,FALSE),0)</f>
        <v>2204</v>
      </c>
      <c r="L53" s="38">
        <f>IFERROR(VLOOKUP($C53, ProductsMar24!$C$3:$AG$27,11,FALSE),0)</f>
        <v>0</v>
      </c>
      <c r="M53" s="38">
        <f>IFERROR(VLOOKUP($C53, ProductsMar24!$C$3:$AG$27,15,FALSE),0)</f>
        <v>0</v>
      </c>
      <c r="N53" s="38">
        <f>IFERROR(VLOOKUP($C53, ProductsMar24!$C$3:$AG$27,12,FALSE),0)</f>
        <v>103</v>
      </c>
      <c r="O53" s="38">
        <f>IFERROR(VLOOKUP($C53, ProductsMar24!$C$3:$AG$27,13,FALSE),0)</f>
        <v>1</v>
      </c>
      <c r="P53" s="38">
        <f>IFERROR(VLOOKUP($C53, ProductsMar24!$C$3:$AG$27,14,FALSE),0)</f>
        <v>0</v>
      </c>
      <c r="Q53" s="38">
        <f>IFERROR(VLOOKUP($C53, ProductsMar24!$C$3:$AG$27,16,FALSE),0)</f>
        <v>0</v>
      </c>
      <c r="R53" s="38">
        <f>IFERROR(VLOOKUP($C53, ProductsMar24!$C$3:$AG$27,17,FALSE),0)</f>
        <v>0</v>
      </c>
      <c r="S53" s="38">
        <f>IFERROR(VLOOKUP($C53, ProductsMar24!$C$3:$AG$27,18,FALSE),0)</f>
        <v>0</v>
      </c>
      <c r="T53" s="38">
        <v>0</v>
      </c>
      <c r="U53" s="38">
        <f>IFERROR(VLOOKUP($C53, ProductsMar24!$C$3:$AG$27,19,FALSE),0)</f>
        <v>57</v>
      </c>
      <c r="V53" s="38">
        <f>IFERROR(VLOOKUP($C53, ProductsMar24!$C$3:$AG$27,20,FALSE),0)</f>
        <v>0</v>
      </c>
      <c r="W53" s="38">
        <f>IFERROR(VLOOKUP($C53, ProductsMar24!$C$3:$AG$27,21,FALSE),0)</f>
        <v>0</v>
      </c>
      <c r="X53" s="38">
        <f>IFERROR(VLOOKUP($C53, ProductsMar24!$C$3:$AG$27,22,FALSE),0)</f>
        <v>0</v>
      </c>
      <c r="Y53" s="38">
        <f>IFERROR(VLOOKUP($C53, ProductsMar24!$C$3:$AG$27,23,FALSE),0)</f>
        <v>0</v>
      </c>
      <c r="Z53" s="38">
        <f>IFERROR(VLOOKUP($C53, ProductsMar24!$C$3:$AG$27,24,FALSE),0)</f>
        <v>40</v>
      </c>
      <c r="AA53" s="38">
        <f>IFERROR(VLOOKUP($C53, ProductsMar24!$C$3:$AG$27,25,FALSE),0)</f>
        <v>26</v>
      </c>
      <c r="AB53" s="38">
        <f>IFERROR(VLOOKUP($C53, ProductsMar24!$C$3:$AG$27,26,FALSE),0)</f>
        <v>480</v>
      </c>
      <c r="AC53" s="38">
        <f>IFERROR(VLOOKUP($C53, ProductsMar24!$C$3:$AG$27,27,FALSE),0)</f>
        <v>0</v>
      </c>
      <c r="AD53" s="38">
        <f>IFERROR(VLOOKUP($C53, ProductsMar24!$C$3:$AG$27,28,FALSE),0)</f>
        <v>11</v>
      </c>
      <c r="AE53" s="38">
        <f>IFERROR(VLOOKUP($C53, ProductsMar24!$C$3:$AG$27,29,FALSE),0)</f>
        <v>4</v>
      </c>
      <c r="AF53" s="38">
        <f>IFERROR(VLOOKUP($C53, ProductsMar24!$C$3:$AG$27,30,FALSE),0)</f>
        <v>0</v>
      </c>
      <c r="AG53" s="38">
        <f>IFERROR(VLOOKUP($C53, ProductsMar24!$C$3:$AG$27,31,FALSE),0)</f>
        <v>0</v>
      </c>
      <c r="AH53" s="38"/>
      <c r="AI53" s="38"/>
      <c r="AJ53" s="13">
        <f t="shared" si="1"/>
        <v>2938</v>
      </c>
      <c r="AL53" s="55" t="s">
        <v>2</v>
      </c>
      <c r="AM53" s="56" t="s">
        <v>151</v>
      </c>
      <c r="AN53" s="53">
        <v>475</v>
      </c>
      <c r="AO53" s="53">
        <v>0</v>
      </c>
      <c r="AP53" s="53">
        <v>1</v>
      </c>
      <c r="AQ53" s="53">
        <v>0</v>
      </c>
      <c r="AR53" s="53">
        <v>0</v>
      </c>
      <c r="AS53" s="53">
        <v>0</v>
      </c>
      <c r="AT53" s="53">
        <v>2</v>
      </c>
      <c r="AU53" s="53">
        <v>49</v>
      </c>
      <c r="AV53" s="53">
        <v>22</v>
      </c>
      <c r="AW53" s="53">
        <v>37</v>
      </c>
      <c r="AX53" s="53">
        <v>0</v>
      </c>
      <c r="AY53" s="53">
        <v>9</v>
      </c>
      <c r="AZ53" s="53">
        <v>113</v>
      </c>
      <c r="BA53" s="53">
        <v>0</v>
      </c>
      <c r="BB53" s="53">
        <v>0</v>
      </c>
      <c r="BC53" s="53">
        <v>0</v>
      </c>
      <c r="BD53" s="53">
        <v>1</v>
      </c>
      <c r="BE53" s="53">
        <v>164</v>
      </c>
      <c r="BF53" s="53">
        <v>3</v>
      </c>
      <c r="BG53" s="53">
        <v>0</v>
      </c>
      <c r="BH53" s="53">
        <v>4</v>
      </c>
      <c r="BI53" s="53">
        <v>0</v>
      </c>
      <c r="BJ53" s="53">
        <v>5</v>
      </c>
      <c r="BK53" s="53">
        <v>3</v>
      </c>
      <c r="BL53" s="53">
        <v>0</v>
      </c>
      <c r="BM53" s="53">
        <v>4</v>
      </c>
      <c r="BN53" s="53">
        <v>2</v>
      </c>
      <c r="BO53" s="53">
        <v>53</v>
      </c>
      <c r="BP53" s="53">
        <v>3</v>
      </c>
      <c r="BQ53" s="53">
        <v>0</v>
      </c>
      <c r="BR53" s="52"/>
    </row>
    <row r="54" spans="2:70" ht="25.5" thickTop="1" thickBot="1">
      <c r="B54" s="21" t="s">
        <v>16</v>
      </c>
      <c r="C54" s="2" t="s">
        <v>25</v>
      </c>
      <c r="D54" s="23" t="s">
        <v>106</v>
      </c>
      <c r="E54" s="38">
        <f>IFERROR(VLOOKUP($C54,ProductsMar24!$C$3:$AG$27,4,FALSE),0)</f>
        <v>6</v>
      </c>
      <c r="F54" s="38">
        <f>IFERROR(VLOOKUP($C54, ProductsMar24!$C$3:$AG$27,5,FALSE),0)</f>
        <v>0</v>
      </c>
      <c r="G54" s="38">
        <f>IFERROR(VLOOKUP($C54, ProductsMar24!$C$3:$AG$27,6,FALSE),0)</f>
        <v>0</v>
      </c>
      <c r="H54" s="38">
        <f>IFERROR(VLOOKUP($C54, ProductsMar24!$C$3:$AG$27,7,FALSE),0)</f>
        <v>0</v>
      </c>
      <c r="I54" s="38">
        <f>IFERROR(VLOOKUP($C54, ProductsMar24!$C$3:$AG$27,8,FALSE),0)</f>
        <v>0</v>
      </c>
      <c r="J54" s="38">
        <f>IFERROR(VLOOKUP($C54, ProductsMar24!$C$3:$AG$27,9,FALSE),0)</f>
        <v>0</v>
      </c>
      <c r="K54" s="38">
        <f>IFERROR(VLOOKUP($C54, ProductsMar24!$C$3:$AG$27,10,FALSE),0)</f>
        <v>0</v>
      </c>
      <c r="L54" s="38">
        <f>IFERROR(VLOOKUP($C54, ProductsMar24!$C$3:$AG$27,11,FALSE),0)</f>
        <v>0</v>
      </c>
      <c r="M54" s="38">
        <f>IFERROR(VLOOKUP($C54, ProductsMar24!$C$3:$AG$27,15,FALSE),0)</f>
        <v>0</v>
      </c>
      <c r="N54" s="38">
        <f>IFERROR(VLOOKUP($C54, ProductsMar24!$C$3:$AG$27,12,FALSE),0)</f>
        <v>0</v>
      </c>
      <c r="O54" s="38">
        <f>IFERROR(VLOOKUP($C54, ProductsMar24!$C$3:$AG$27,13,FALSE),0)</f>
        <v>0</v>
      </c>
      <c r="P54" s="38">
        <f>IFERROR(VLOOKUP($C54, ProductsMar24!$C$3:$AG$27,14,FALSE),0)</f>
        <v>0</v>
      </c>
      <c r="Q54" s="38">
        <f>IFERROR(VLOOKUP($C54, ProductsMar24!$C$3:$AG$27,16,FALSE),0)</f>
        <v>0</v>
      </c>
      <c r="R54" s="38">
        <f>IFERROR(VLOOKUP($C54, ProductsMar24!$C$3:$AG$27,17,FALSE),0)</f>
        <v>0</v>
      </c>
      <c r="S54" s="38">
        <f>IFERROR(VLOOKUP($C54, ProductsMar24!$C$3:$AG$27,18,FALSE),0)</f>
        <v>0</v>
      </c>
      <c r="T54" s="38">
        <v>0</v>
      </c>
      <c r="U54" s="38">
        <f>IFERROR(VLOOKUP($C54, ProductsMar24!$C$3:$AG$27,19,FALSE),0)</f>
        <v>0</v>
      </c>
      <c r="V54" s="38">
        <f>IFERROR(VLOOKUP($C54, ProductsMar24!$C$3:$AG$27,20,FALSE),0)</f>
        <v>0</v>
      </c>
      <c r="W54" s="38">
        <f>IFERROR(VLOOKUP($C54, ProductsMar24!$C$3:$AG$27,21,FALSE),0)</f>
        <v>0</v>
      </c>
      <c r="X54" s="38">
        <f>IFERROR(VLOOKUP($C54, ProductsMar24!$C$3:$AG$27,22,FALSE),0)</f>
        <v>0</v>
      </c>
      <c r="Y54" s="38">
        <f>IFERROR(VLOOKUP($C54, ProductsMar24!$C$3:$AG$27,23,FALSE),0)</f>
        <v>0</v>
      </c>
      <c r="Z54" s="38">
        <f>IFERROR(VLOOKUP($C54, ProductsMar24!$C$3:$AG$27,24,FALSE),0)</f>
        <v>0</v>
      </c>
      <c r="AA54" s="38">
        <f>IFERROR(VLOOKUP($C54, ProductsMar24!$C$3:$AG$27,25,FALSE),0)</f>
        <v>0</v>
      </c>
      <c r="AB54" s="38">
        <f>IFERROR(VLOOKUP($C54, ProductsMar24!$C$3:$AG$27,26,FALSE),0)</f>
        <v>0</v>
      </c>
      <c r="AC54" s="38">
        <f>IFERROR(VLOOKUP($C54, ProductsMar24!$C$3:$AG$27,27,FALSE),0)</f>
        <v>0</v>
      </c>
      <c r="AD54" s="38">
        <f>IFERROR(VLOOKUP($C54, ProductsMar24!$C$3:$AG$27,28,FALSE),0)</f>
        <v>0</v>
      </c>
      <c r="AE54" s="38">
        <f>IFERROR(VLOOKUP($C54, ProductsMar24!$C$3:$AG$27,29,FALSE),0)</f>
        <v>0</v>
      </c>
      <c r="AF54" s="38">
        <f>IFERROR(VLOOKUP($C54, ProductsMar24!$C$3:$AG$27,30,FALSE),0)</f>
        <v>0</v>
      </c>
      <c r="AG54" s="38">
        <f>IFERROR(VLOOKUP($C54, ProductsMar24!$C$3:$AG$27,31,FALSE),0)</f>
        <v>0</v>
      </c>
      <c r="AH54" s="38"/>
      <c r="AI54" s="38"/>
      <c r="AJ54" s="13">
        <f t="shared" si="1"/>
        <v>6</v>
      </c>
      <c r="AL54" s="55" t="s">
        <v>150</v>
      </c>
      <c r="AM54" s="56" t="s">
        <v>105</v>
      </c>
      <c r="AN54" s="53">
        <v>30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1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17</v>
      </c>
      <c r="BA54" s="53">
        <v>0</v>
      </c>
      <c r="BB54" s="53">
        <v>0</v>
      </c>
      <c r="BC54" s="53">
        <v>0</v>
      </c>
      <c r="BD54" s="53">
        <v>4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53">
        <v>8</v>
      </c>
      <c r="BP54" s="53">
        <v>0</v>
      </c>
      <c r="BQ54" s="53">
        <v>0</v>
      </c>
      <c r="BR54" s="52"/>
    </row>
    <row r="55" spans="2:70" ht="16.5" thickTop="1" thickBot="1">
      <c r="B55" s="21" t="s">
        <v>17</v>
      </c>
      <c r="C55" s="2" t="s">
        <v>181</v>
      </c>
      <c r="D55" s="23" t="s">
        <v>105</v>
      </c>
      <c r="E55" s="38">
        <f>IFERROR(VLOOKUP($C55,ProductsMar24!$C$3:$AG$27,4,FALSE),0)</f>
        <v>0</v>
      </c>
      <c r="F55" s="38">
        <f>IFERROR(VLOOKUP($C55, ProductsMar24!$C$3:$AG$27,5,FALSE),0)</f>
        <v>3</v>
      </c>
      <c r="G55" s="38">
        <f>IFERROR(VLOOKUP($C55, ProductsMar24!$C$3:$AG$27,6,FALSE),0)</f>
        <v>0</v>
      </c>
      <c r="H55" s="38">
        <f>IFERROR(VLOOKUP($C55, ProductsMar24!$C$3:$AG$27,7,FALSE),0)</f>
        <v>0</v>
      </c>
      <c r="I55" s="38">
        <f>IFERROR(VLOOKUP($C55, ProductsMar24!$C$3:$AG$27,8,FALSE),0)</f>
        <v>0</v>
      </c>
      <c r="J55" s="38">
        <f>IFERROR(VLOOKUP($C55, ProductsMar24!$C$3:$AG$27,9,FALSE),0)</f>
        <v>0</v>
      </c>
      <c r="K55" s="38">
        <f>IFERROR(VLOOKUP($C55, ProductsMar24!$C$3:$AG$27,10,FALSE),0)</f>
        <v>3</v>
      </c>
      <c r="L55" s="38">
        <f>IFERROR(VLOOKUP($C55, ProductsMar24!$C$3:$AG$27,11,FALSE),0)</f>
        <v>0</v>
      </c>
      <c r="M55" s="38">
        <f>IFERROR(VLOOKUP($C55, ProductsMar24!$C$3:$AG$27,15,FALSE),0)</f>
        <v>0</v>
      </c>
      <c r="N55" s="38">
        <f>IFERROR(VLOOKUP($C55, ProductsMar24!$C$3:$AG$27,12,FALSE),0)</f>
        <v>2</v>
      </c>
      <c r="O55" s="38">
        <f>IFERROR(VLOOKUP($C55, ProductsMar24!$C$3:$AG$27,13,FALSE),0)</f>
        <v>0</v>
      </c>
      <c r="P55" s="38">
        <f>IFERROR(VLOOKUP($C55, ProductsMar24!$C$3:$AG$27,14,FALSE),0)</f>
        <v>75</v>
      </c>
      <c r="Q55" s="38">
        <f>IFERROR(VLOOKUP($C55, ProductsMar24!$C$3:$AG$27,16,FALSE),0)</f>
        <v>0</v>
      </c>
      <c r="R55" s="38">
        <f>IFERROR(VLOOKUP($C55, ProductsMar24!$C$3:$AG$27,17,FALSE),0)</f>
        <v>0</v>
      </c>
      <c r="S55" s="38">
        <f>IFERROR(VLOOKUP($C55, ProductsMar24!$C$3:$AG$27,18,FALSE),0)</f>
        <v>0</v>
      </c>
      <c r="T55" s="38"/>
      <c r="U55" s="38">
        <f>IFERROR(VLOOKUP($C55, ProductsMar24!$C$3:$AG$27,19,FALSE),0)</f>
        <v>0</v>
      </c>
      <c r="V55" s="38">
        <f>IFERROR(VLOOKUP($C55, ProductsMar24!$C$3:$AG$27,20,FALSE),0)</f>
        <v>0</v>
      </c>
      <c r="W55" s="38">
        <f>IFERROR(VLOOKUP($C55, ProductsMar24!$C$3:$AG$27,21,FALSE),0)</f>
        <v>0</v>
      </c>
      <c r="X55" s="38">
        <f>IFERROR(VLOOKUP($C55, ProductsMar24!$C$3:$AG$27,22,FALSE),0)</f>
        <v>0</v>
      </c>
      <c r="Y55" s="38">
        <f>IFERROR(VLOOKUP($C55, ProductsMar24!$C$3:$AG$27,23,FALSE),0)</f>
        <v>0</v>
      </c>
      <c r="Z55" s="38">
        <f>IFERROR(VLOOKUP($C55, ProductsMar24!$C$3:$AG$27,24,FALSE),0)</f>
        <v>0</v>
      </c>
      <c r="AA55" s="38">
        <f>IFERROR(VLOOKUP($C55, ProductsMar24!$C$3:$AG$27,25,FALSE),0)</f>
        <v>0</v>
      </c>
      <c r="AB55" s="38">
        <f>IFERROR(VLOOKUP($C55, ProductsMar24!$C$3:$AG$27,26,FALSE),0)</f>
        <v>0</v>
      </c>
      <c r="AC55" s="38">
        <f>IFERROR(VLOOKUP($C55, ProductsMar24!$C$3:$AG$27,27,FALSE),0)</f>
        <v>0</v>
      </c>
      <c r="AD55" s="38">
        <f>IFERROR(VLOOKUP($C55, ProductsMar24!$C$3:$AG$27,28,FALSE),0)</f>
        <v>0</v>
      </c>
      <c r="AE55" s="38">
        <f>IFERROR(VLOOKUP($C55, ProductsMar24!$C$3:$AG$27,29,FALSE),0)</f>
        <v>0</v>
      </c>
      <c r="AF55" s="38">
        <f>IFERROR(VLOOKUP($C55, ProductsMar24!$C$3:$AG$27,30,FALSE),0)</f>
        <v>0</v>
      </c>
      <c r="AG55" s="38">
        <f>IFERROR(VLOOKUP($C55, ProductsMar24!$C$3:$AG$27,31,FALSE),0)</f>
        <v>0</v>
      </c>
      <c r="AH55" s="38">
        <f>IFERROR(VLOOKUP($C55,#REF!,4,FALSE),0)</f>
        <v>0</v>
      </c>
      <c r="AI55" s="38"/>
      <c r="AJ55" s="13"/>
      <c r="AL55" s="55"/>
      <c r="AM55" s="56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2"/>
    </row>
    <row r="56" spans="2:70" ht="16.5" thickTop="1" thickBot="1">
      <c r="B56" s="21" t="s">
        <v>19</v>
      </c>
      <c r="C56" s="2" t="s">
        <v>20</v>
      </c>
      <c r="D56" s="23" t="s">
        <v>108</v>
      </c>
      <c r="E56" s="38">
        <f>IFERROR(VLOOKUP($C56,ProductsMar24!$C$3:$AG$27,4,FALSE),0)</f>
        <v>4</v>
      </c>
      <c r="F56" s="38">
        <f>IFERROR(VLOOKUP($C56, ProductsMar24!$C$3:$AG$27,5,FALSE),0)</f>
        <v>36</v>
      </c>
      <c r="G56" s="38">
        <f>IFERROR(VLOOKUP($C56, ProductsMar24!$C$3:$AG$27,6,FALSE),0)</f>
        <v>0</v>
      </c>
      <c r="H56" s="38">
        <f>IFERROR(VLOOKUP($C56, ProductsMar24!$C$3:$AG$27,7,FALSE),0)</f>
        <v>0</v>
      </c>
      <c r="I56" s="38">
        <f>IFERROR(VLOOKUP($C56, ProductsMar24!$C$3:$AG$27,8,FALSE),0)</f>
        <v>12</v>
      </c>
      <c r="J56" s="38">
        <f>IFERROR(VLOOKUP($C56, ProductsMar24!$C$3:$AG$27,9,FALSE),0)</f>
        <v>139</v>
      </c>
      <c r="K56" s="38">
        <f>IFERROR(VLOOKUP($C56, ProductsMar24!$C$3:$AG$27,10,FALSE),0)</f>
        <v>0</v>
      </c>
      <c r="L56" s="38">
        <f>IFERROR(VLOOKUP($C56, ProductsMar24!$C$3:$AG$27,11,FALSE),0)</f>
        <v>0</v>
      </c>
      <c r="M56" s="38">
        <f>IFERROR(VLOOKUP($C56, ProductsMar24!$C$3:$AG$27,15,FALSE),0)</f>
        <v>0</v>
      </c>
      <c r="N56" s="38">
        <f>IFERROR(VLOOKUP($C56, ProductsMar24!$C$3:$AG$27,12,FALSE),0)</f>
        <v>30</v>
      </c>
      <c r="O56" s="38">
        <f>IFERROR(VLOOKUP($C56, ProductsMar24!$C$3:$AG$27,13,FALSE),0)</f>
        <v>3</v>
      </c>
      <c r="P56" s="38">
        <f>IFERROR(VLOOKUP($C56, ProductsMar24!$C$3:$AG$27,14,FALSE),0)</f>
        <v>51</v>
      </c>
      <c r="Q56" s="38">
        <f>IFERROR(VLOOKUP($C56, ProductsMar24!$C$3:$AG$27,16,FALSE),0)</f>
        <v>0</v>
      </c>
      <c r="R56" s="38">
        <f>IFERROR(VLOOKUP($C56, ProductsMar24!$C$3:$AG$27,17,FALSE),0)</f>
        <v>0</v>
      </c>
      <c r="S56" s="38">
        <f>IFERROR(VLOOKUP($C56, ProductsMar24!$C$3:$AG$27,18,FALSE),0)</f>
        <v>6</v>
      </c>
      <c r="T56" s="38">
        <v>0</v>
      </c>
      <c r="U56" s="38">
        <f>IFERROR(VLOOKUP($C56, ProductsMar24!$C$3:$AG$27,19,FALSE),0)</f>
        <v>9</v>
      </c>
      <c r="V56" s="38">
        <f>IFERROR(VLOOKUP($C56, ProductsMar24!$C$3:$AG$27,20,FALSE),0)</f>
        <v>0</v>
      </c>
      <c r="W56" s="38">
        <f>IFERROR(VLOOKUP($C56, ProductsMar24!$C$3:$AG$27,21,FALSE),0)</f>
        <v>0</v>
      </c>
      <c r="X56" s="38">
        <f>IFERROR(VLOOKUP($C56, ProductsMar24!$C$3:$AG$27,22,FALSE),0)</f>
        <v>0</v>
      </c>
      <c r="Y56" s="38">
        <f>IFERROR(VLOOKUP($C56, ProductsMar24!$C$3:$AG$27,23,FALSE),0)</f>
        <v>0</v>
      </c>
      <c r="Z56" s="38">
        <f>IFERROR(VLOOKUP($C56, ProductsMar24!$C$3:$AG$27,24,FALSE),0)</f>
        <v>198</v>
      </c>
      <c r="AA56" s="38">
        <f>IFERROR(VLOOKUP($C56, ProductsMar24!$C$3:$AG$27,25,FALSE),0)</f>
        <v>0</v>
      </c>
      <c r="AB56" s="38">
        <f>IFERROR(VLOOKUP($C56, ProductsMar24!$C$3:$AG$27,26,FALSE),0)</f>
        <v>1</v>
      </c>
      <c r="AC56" s="38">
        <f>IFERROR(VLOOKUP($C56, ProductsMar24!$C$3:$AG$27,27,FALSE),0)</f>
        <v>0</v>
      </c>
      <c r="AD56" s="38">
        <f>IFERROR(VLOOKUP($C56, ProductsMar24!$C$3:$AG$27,28,FALSE),0)</f>
        <v>0</v>
      </c>
      <c r="AE56" s="38">
        <f>IFERROR(VLOOKUP($C56, ProductsMar24!$C$3:$AG$27,29,FALSE),0)</f>
        <v>61</v>
      </c>
      <c r="AF56" s="38">
        <f>IFERROR(VLOOKUP($C56, ProductsMar24!$C$3:$AG$27,30,FALSE),0)</f>
        <v>0</v>
      </c>
      <c r="AG56" s="38">
        <f>IFERROR(VLOOKUP($C56, ProductsMar24!$C$3:$AG$27,31,FALSE),0)</f>
        <v>0</v>
      </c>
      <c r="AH56" s="38"/>
      <c r="AI56" s="38"/>
      <c r="AJ56" s="13">
        <f t="shared" si="1"/>
        <v>550</v>
      </c>
      <c r="AL56" s="55" t="s">
        <v>18</v>
      </c>
      <c r="AM56" s="56" t="s">
        <v>107</v>
      </c>
      <c r="AN56" s="53">
        <v>15</v>
      </c>
      <c r="AO56" s="53">
        <v>0</v>
      </c>
      <c r="AP56" s="53">
        <v>2</v>
      </c>
      <c r="AQ56" s="53">
        <v>0</v>
      </c>
      <c r="AR56" s="53">
        <v>0</v>
      </c>
      <c r="AS56" s="53">
        <v>0</v>
      </c>
      <c r="AT56" s="53">
        <v>1</v>
      </c>
      <c r="AU56" s="53">
        <v>6</v>
      </c>
      <c r="AV56" s="53">
        <v>0</v>
      </c>
      <c r="AW56" s="53">
        <v>5</v>
      </c>
      <c r="AX56" s="53">
        <v>0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0</v>
      </c>
      <c r="BE56" s="53">
        <v>1</v>
      </c>
      <c r="BF56" s="53">
        <v>0</v>
      </c>
      <c r="BG56" s="53">
        <v>0</v>
      </c>
      <c r="BH56" s="53">
        <v>0</v>
      </c>
      <c r="BI56" s="53">
        <v>0</v>
      </c>
      <c r="BJ56" s="53">
        <v>0</v>
      </c>
      <c r="BK56" s="53">
        <v>0</v>
      </c>
      <c r="BL56" s="53">
        <v>0</v>
      </c>
      <c r="BM56" s="53">
        <v>0</v>
      </c>
      <c r="BN56" s="53">
        <v>0</v>
      </c>
      <c r="BO56" s="53">
        <v>0</v>
      </c>
      <c r="BP56" s="53">
        <v>0</v>
      </c>
      <c r="BQ56" s="53">
        <v>0</v>
      </c>
      <c r="BR56" s="52"/>
    </row>
    <row r="57" spans="2:70" ht="16.5" thickTop="1" thickBot="1">
      <c r="B57" s="21" t="s">
        <v>21</v>
      </c>
      <c r="C57" s="2" t="s">
        <v>128</v>
      </c>
      <c r="D57" s="23" t="s">
        <v>111</v>
      </c>
      <c r="E57" s="38">
        <f>IFERROR(VLOOKUP($C57,ProductsMar24!$C$3:$AG$27,4,FALSE),0)</f>
        <v>129</v>
      </c>
      <c r="F57" s="38">
        <f>IFERROR(VLOOKUP($C57, ProductsMar24!$C$3:$AG$27,5,FALSE),0)</f>
        <v>598</v>
      </c>
      <c r="G57" s="38">
        <f>IFERROR(VLOOKUP($C57, ProductsMar24!$C$3:$AG$27,6,FALSE),0)</f>
        <v>0</v>
      </c>
      <c r="H57" s="38">
        <f>IFERROR(VLOOKUP($C57, ProductsMar24!$C$3:$AG$27,7,FALSE),0)</f>
        <v>0</v>
      </c>
      <c r="I57" s="38">
        <f>IFERROR(VLOOKUP($C57, ProductsMar24!$C$3:$AG$27,8,FALSE),0)</f>
        <v>79</v>
      </c>
      <c r="J57" s="38">
        <f>IFERROR(VLOOKUP($C57, ProductsMar24!$C$3:$AG$27,9,FALSE),0)</f>
        <v>0</v>
      </c>
      <c r="K57" s="38">
        <f>IFERROR(VLOOKUP($C57, ProductsMar24!$C$3:$AG$27,10,FALSE),0)</f>
        <v>0</v>
      </c>
      <c r="L57" s="38">
        <f>IFERROR(VLOOKUP($C57, ProductsMar24!$C$3:$AG$27,11,FALSE),0)</f>
        <v>0</v>
      </c>
      <c r="M57" s="38">
        <f>IFERROR(VLOOKUP($C57, ProductsMar24!$C$3:$AG$27,15,FALSE),0)</f>
        <v>0</v>
      </c>
      <c r="N57" s="38">
        <f>IFERROR(VLOOKUP($C57, ProductsMar24!$C$3:$AG$27,12,FALSE),0)</f>
        <v>34</v>
      </c>
      <c r="O57" s="38">
        <f>IFERROR(VLOOKUP($C57, ProductsMar24!$C$3:$AG$27,13,FALSE),0)</f>
        <v>258</v>
      </c>
      <c r="P57" s="38">
        <f>IFERROR(VLOOKUP($C57, ProductsMar24!$C$3:$AG$27,14,FALSE),0)</f>
        <v>228</v>
      </c>
      <c r="Q57" s="38">
        <f>IFERROR(VLOOKUP($C57, ProductsMar24!$C$3:$AG$27,16,FALSE),0)</f>
        <v>0</v>
      </c>
      <c r="R57" s="38">
        <f>IFERROR(VLOOKUP($C57, ProductsMar24!$C$3:$AG$27,17,FALSE),0)</f>
        <v>0</v>
      </c>
      <c r="S57" s="38">
        <f>IFERROR(VLOOKUP($C57, ProductsMar24!$C$3:$AG$27,18,FALSE),0)</f>
        <v>0</v>
      </c>
      <c r="T57" s="38">
        <v>0</v>
      </c>
      <c r="U57" s="38">
        <f>IFERROR(VLOOKUP($C57, ProductsMar24!$C$3:$AG$27,19,FALSE),0)</f>
        <v>875</v>
      </c>
      <c r="V57" s="38">
        <f>IFERROR(VLOOKUP($C57, ProductsMar24!$C$3:$AG$27,20,FALSE),0)</f>
        <v>0</v>
      </c>
      <c r="W57" s="38">
        <f>IFERROR(VLOOKUP($C57, ProductsMar24!$C$3:$AG$27,21,FALSE),0)</f>
        <v>0</v>
      </c>
      <c r="X57" s="38">
        <f>IFERROR(VLOOKUP($C57, ProductsMar24!$C$3:$AG$27,22,FALSE),0)</f>
        <v>0</v>
      </c>
      <c r="Y57" s="38">
        <f>IFERROR(VLOOKUP($C57, ProductsMar24!$C$3:$AG$27,23,FALSE),0)</f>
        <v>0</v>
      </c>
      <c r="Z57" s="38">
        <f>IFERROR(VLOOKUP($C57, ProductsMar24!$C$3:$AG$27,24,FALSE),0)</f>
        <v>206</v>
      </c>
      <c r="AA57" s="38">
        <f>IFERROR(VLOOKUP($C57, ProductsMar24!$C$3:$AG$27,25,FALSE),0)</f>
        <v>9</v>
      </c>
      <c r="AB57" s="38">
        <f>IFERROR(VLOOKUP($C57, ProductsMar24!$C$3:$AG$27,26,FALSE),0)</f>
        <v>107</v>
      </c>
      <c r="AC57" s="38">
        <f>IFERROR(VLOOKUP($C57, ProductsMar24!$C$3:$AG$27,27,FALSE),0)</f>
        <v>1103</v>
      </c>
      <c r="AD57" s="38">
        <f>IFERROR(VLOOKUP($C57, ProductsMar24!$C$3:$AG$27,28,FALSE),0)</f>
        <v>0</v>
      </c>
      <c r="AE57" s="38">
        <f>IFERROR(VLOOKUP($C57, ProductsMar24!$C$3:$AG$27,29,FALSE),0)</f>
        <v>165</v>
      </c>
      <c r="AF57" s="38">
        <f>IFERROR(VLOOKUP($C57, ProductsMar24!$C$3:$AG$27,30,FALSE),0)</f>
        <v>0</v>
      </c>
      <c r="AG57" s="38">
        <f>IFERROR(VLOOKUP($C57, ProductsMar24!$C$3:$AG$27,31,FALSE),0)</f>
        <v>0</v>
      </c>
      <c r="AH57" s="38"/>
      <c r="AI57" s="38"/>
      <c r="AJ57" s="13">
        <f t="shared" si="1"/>
        <v>3791</v>
      </c>
      <c r="AL57" s="55" t="s">
        <v>149</v>
      </c>
      <c r="AM57" s="56" t="s">
        <v>108</v>
      </c>
      <c r="AN57" s="53">
        <v>386</v>
      </c>
      <c r="AO57" s="53">
        <v>3</v>
      </c>
      <c r="AP57" s="53">
        <v>27</v>
      </c>
      <c r="AQ57" s="53">
        <v>0</v>
      </c>
      <c r="AR57" s="53">
        <v>1</v>
      </c>
      <c r="AS57" s="53">
        <v>1</v>
      </c>
      <c r="AT57" s="53">
        <v>158</v>
      </c>
      <c r="AU57" s="53">
        <v>0</v>
      </c>
      <c r="AV57" s="53">
        <v>0</v>
      </c>
      <c r="AW57" s="53">
        <v>12</v>
      </c>
      <c r="AX57" s="53">
        <v>4</v>
      </c>
      <c r="AY57" s="53">
        <v>64</v>
      </c>
      <c r="AZ57" s="53">
        <v>44</v>
      </c>
      <c r="BA57" s="53">
        <v>0</v>
      </c>
      <c r="BB57" s="53">
        <v>0</v>
      </c>
      <c r="BC57" s="53">
        <v>0</v>
      </c>
      <c r="BD57" s="53">
        <v>9</v>
      </c>
      <c r="BE57" s="53">
        <v>1</v>
      </c>
      <c r="BF57" s="53">
        <v>0</v>
      </c>
      <c r="BG57" s="53">
        <v>0</v>
      </c>
      <c r="BH57" s="53">
        <v>0</v>
      </c>
      <c r="BI57" s="53">
        <v>0</v>
      </c>
      <c r="BJ57" s="53">
        <v>47</v>
      </c>
      <c r="BK57" s="53">
        <v>1</v>
      </c>
      <c r="BL57" s="53">
        <v>11</v>
      </c>
      <c r="BM57" s="53">
        <v>0</v>
      </c>
      <c r="BN57" s="53">
        <v>1</v>
      </c>
      <c r="BO57" s="53">
        <v>1</v>
      </c>
      <c r="BP57" s="53">
        <v>1</v>
      </c>
      <c r="BQ57" s="53">
        <v>0</v>
      </c>
      <c r="BR57" s="52"/>
    </row>
    <row r="58" spans="2:70" ht="16.5" thickTop="1" thickBot="1">
      <c r="B58" s="21" t="s">
        <v>21</v>
      </c>
      <c r="C58" s="2" t="s">
        <v>129</v>
      </c>
      <c r="D58" s="23" t="s">
        <v>112</v>
      </c>
      <c r="E58" s="38">
        <f>IFERROR(VLOOKUP($C58,ProductsMar24!$C$3:$AG$27,4,FALSE),0)</f>
        <v>10</v>
      </c>
      <c r="F58" s="38">
        <f>IFERROR(VLOOKUP($C58, ProductsMar24!$C$3:$AG$27,5,FALSE),0)</f>
        <v>253</v>
      </c>
      <c r="G58" s="38">
        <f>IFERROR(VLOOKUP($C58, ProductsMar24!$C$3:$AG$27,6,FALSE),0)</f>
        <v>79</v>
      </c>
      <c r="H58" s="38">
        <f>IFERROR(VLOOKUP($C58, ProductsMar24!$C$3:$AG$27,7,FALSE),0)</f>
        <v>0</v>
      </c>
      <c r="I58" s="38">
        <f>IFERROR(VLOOKUP($C58, ProductsMar24!$C$3:$AG$27,8,FALSE),0)</f>
        <v>28</v>
      </c>
      <c r="J58" s="38">
        <f>IFERROR(VLOOKUP($C58, ProductsMar24!$C$3:$AG$27,9,FALSE),0)</f>
        <v>178</v>
      </c>
      <c r="K58" s="38">
        <f>IFERROR(VLOOKUP($C58, ProductsMar24!$C$3:$AG$27,10,FALSE),0)</f>
        <v>2</v>
      </c>
      <c r="L58" s="38">
        <f>IFERROR(VLOOKUP($C58, ProductsMar24!$C$3:$AG$27,11,FALSE),0)</f>
        <v>0</v>
      </c>
      <c r="M58" s="38">
        <f>IFERROR(VLOOKUP($C58, ProductsMar24!$C$3:$AG$27,15,FALSE),0)</f>
        <v>0</v>
      </c>
      <c r="N58" s="38">
        <f>IFERROR(VLOOKUP($C58, ProductsMar24!$C$3:$AG$27,12,FALSE),0)</f>
        <v>1602</v>
      </c>
      <c r="O58" s="38">
        <f>IFERROR(VLOOKUP($C58, ProductsMar24!$C$3:$AG$27,13,FALSE),0)</f>
        <v>0</v>
      </c>
      <c r="P58" s="38">
        <f>IFERROR(VLOOKUP($C58, ProductsMar24!$C$3:$AG$27,14,FALSE),0)</f>
        <v>890</v>
      </c>
      <c r="Q58" s="38">
        <f>IFERROR(VLOOKUP($C58, ProductsMar24!$C$3:$AG$27,16,FALSE),0)</f>
        <v>23</v>
      </c>
      <c r="R58" s="38">
        <f>IFERROR(VLOOKUP($C58, ProductsMar24!$C$3:$AG$27,17,FALSE),0)</f>
        <v>23</v>
      </c>
      <c r="S58" s="38">
        <f>IFERROR(VLOOKUP($C58, ProductsMar24!$C$3:$AG$27,18,FALSE),0)</f>
        <v>40</v>
      </c>
      <c r="T58" s="38">
        <v>0</v>
      </c>
      <c r="U58" s="38">
        <f>IFERROR(VLOOKUP($C58, ProductsMar24!$C$3:$AG$27,19,FALSE),0)</f>
        <v>4840</v>
      </c>
      <c r="V58" s="38">
        <f>IFERROR(VLOOKUP($C58, ProductsMar24!$C$3:$AG$27,20,FALSE),0)</f>
        <v>75</v>
      </c>
      <c r="W58" s="38">
        <f>IFERROR(VLOOKUP($C58, ProductsMar24!$C$3:$AG$27,21,FALSE),0)</f>
        <v>0</v>
      </c>
      <c r="X58" s="38">
        <f>IFERROR(VLOOKUP($C58, ProductsMar24!$C$3:$AG$27,22,FALSE),0)</f>
        <v>0</v>
      </c>
      <c r="Y58" s="38">
        <f>IFERROR(VLOOKUP($C58, ProductsMar24!$C$3:$AG$27,23,FALSE),0)</f>
        <v>0</v>
      </c>
      <c r="Z58" s="38">
        <f>IFERROR(VLOOKUP($C58, ProductsMar24!$C$3:$AG$27,24,FALSE),0)</f>
        <v>306</v>
      </c>
      <c r="AA58" s="38">
        <f>IFERROR(VLOOKUP($C58, ProductsMar24!$C$3:$AG$27,25,FALSE),0)</f>
        <v>0</v>
      </c>
      <c r="AB58" s="38">
        <f>IFERROR(VLOOKUP($C58, ProductsMar24!$C$3:$AG$27,26,FALSE),0)</f>
        <v>461</v>
      </c>
      <c r="AC58" s="38">
        <f>IFERROR(VLOOKUP($C58, ProductsMar24!$C$3:$AG$27,27,FALSE),0)</f>
        <v>1657</v>
      </c>
      <c r="AD58" s="38">
        <f>IFERROR(VLOOKUP($C58, ProductsMar24!$C$3:$AG$27,28,FALSE),0)</f>
        <v>62</v>
      </c>
      <c r="AE58" s="38">
        <f>IFERROR(VLOOKUP($C58, ProductsMar24!$C$3:$AG$27,29,FALSE),0)</f>
        <v>2547</v>
      </c>
      <c r="AF58" s="38">
        <f>IFERROR(VLOOKUP($C58, ProductsMar24!$C$3:$AG$27,30,FALSE),0)</f>
        <v>0</v>
      </c>
      <c r="AG58" s="38">
        <f>IFERROR(VLOOKUP($C58, ProductsMar24!$C$3:$AG$27,31,FALSE),0)</f>
        <v>0</v>
      </c>
      <c r="AH58" s="38"/>
      <c r="AI58" s="38"/>
      <c r="AJ58" s="13">
        <f t="shared" si="1"/>
        <v>13076</v>
      </c>
      <c r="AL58" s="55" t="s">
        <v>140</v>
      </c>
      <c r="AM58" s="56" t="s">
        <v>99</v>
      </c>
      <c r="AN58" s="53">
        <v>25</v>
      </c>
      <c r="AO58" s="53">
        <v>9</v>
      </c>
      <c r="AP58" s="53">
        <v>1</v>
      </c>
      <c r="AQ58" s="53">
        <v>0</v>
      </c>
      <c r="AR58" s="53">
        <v>0</v>
      </c>
      <c r="AS58" s="53">
        <v>0</v>
      </c>
      <c r="AT58" s="53">
        <v>2</v>
      </c>
      <c r="AU58" s="53">
        <v>0</v>
      </c>
      <c r="AV58" s="53">
        <v>0</v>
      </c>
      <c r="AW58" s="53">
        <v>10</v>
      </c>
      <c r="AX58" s="53">
        <v>0</v>
      </c>
      <c r="AY58" s="53">
        <v>0</v>
      </c>
      <c r="AZ58" s="53">
        <v>0</v>
      </c>
      <c r="BA58" s="53">
        <v>0</v>
      </c>
      <c r="BB58" s="53">
        <v>0</v>
      </c>
      <c r="BC58" s="53">
        <v>0</v>
      </c>
      <c r="BD58" s="53">
        <v>0</v>
      </c>
      <c r="BE58" s="53">
        <v>2</v>
      </c>
      <c r="BF58" s="53">
        <v>0</v>
      </c>
      <c r="BG58" s="53">
        <v>0</v>
      </c>
      <c r="BH58" s="53">
        <v>0</v>
      </c>
      <c r="BI58" s="53">
        <v>0</v>
      </c>
      <c r="BJ58" s="53">
        <v>0</v>
      </c>
      <c r="BK58" s="53">
        <v>1</v>
      </c>
      <c r="BL58" s="53">
        <v>0</v>
      </c>
      <c r="BM58" s="53">
        <v>0</v>
      </c>
      <c r="BN58" s="53">
        <v>0</v>
      </c>
      <c r="BO58" s="53">
        <v>0</v>
      </c>
      <c r="BP58" s="53">
        <v>0</v>
      </c>
      <c r="BQ58" s="53">
        <v>0</v>
      </c>
      <c r="BR58" s="52"/>
    </row>
    <row r="59" spans="2:70" ht="25.5" thickTop="1" thickBot="1">
      <c r="B59" s="21" t="s">
        <v>21</v>
      </c>
      <c r="C59" s="42" t="s">
        <v>131</v>
      </c>
      <c r="D59" s="23" t="s">
        <v>132</v>
      </c>
      <c r="E59" s="38">
        <f>IFERROR(VLOOKUP($C59,ProductsMar24!$C$3:$AG$27,4,FALSE),0)</f>
        <v>323</v>
      </c>
      <c r="F59" s="38">
        <f>IFERROR(VLOOKUP($C59, ProductsMar24!$C$3:$AG$27,5,FALSE),0)</f>
        <v>49</v>
      </c>
      <c r="G59" s="38">
        <f>IFERROR(VLOOKUP($C59, ProductsMar24!$C$3:$AG$27,6,FALSE),0)</f>
        <v>0</v>
      </c>
      <c r="H59" s="38">
        <f>IFERROR(VLOOKUP($C59, ProductsMar24!$C$3:$AG$27,7,FALSE),0)</f>
        <v>0</v>
      </c>
      <c r="I59" s="38">
        <f>IFERROR(VLOOKUP($C59, ProductsMar24!$C$3:$AG$27,8,FALSE),0)</f>
        <v>16</v>
      </c>
      <c r="J59" s="38">
        <f>IFERROR(VLOOKUP($C59, ProductsMar24!$C$3:$AG$27,9,FALSE),0)</f>
        <v>7</v>
      </c>
      <c r="K59" s="38">
        <f>IFERROR(VLOOKUP($C59, ProductsMar24!$C$3:$AG$27,10,FALSE),0)</f>
        <v>1</v>
      </c>
      <c r="L59" s="38">
        <f>IFERROR(VLOOKUP($C59, ProductsMar24!$C$3:$AG$27,11,FALSE),0)</f>
        <v>0</v>
      </c>
      <c r="M59" s="38">
        <f>IFERROR(VLOOKUP($C59, ProductsMar24!$C$3:$AG$27,15,FALSE),0)</f>
        <v>0</v>
      </c>
      <c r="N59" s="38">
        <f>IFERROR(VLOOKUP($C59, ProductsMar24!$C$3:$AG$27,12,FALSE),0)</f>
        <v>0</v>
      </c>
      <c r="O59" s="38">
        <f>IFERROR(VLOOKUP($C59, ProductsMar24!$C$3:$AG$27,13,FALSE),0)</f>
        <v>0</v>
      </c>
      <c r="P59" s="38">
        <f>IFERROR(VLOOKUP($C59, ProductsMar24!$C$3:$AG$27,14,FALSE),0)</f>
        <v>2</v>
      </c>
      <c r="Q59" s="38">
        <f>IFERROR(VLOOKUP($C59, ProductsMar24!$C$3:$AG$27,16,FALSE),0)</f>
        <v>0</v>
      </c>
      <c r="R59" s="38">
        <f>IFERROR(VLOOKUP($C59, ProductsMar24!$C$3:$AG$27,17,FALSE),0)</f>
        <v>0</v>
      </c>
      <c r="S59" s="38">
        <f>IFERROR(VLOOKUP($C59, ProductsMar24!$C$3:$AG$27,18,FALSE),0)</f>
        <v>0</v>
      </c>
      <c r="T59" s="38">
        <v>0</v>
      </c>
      <c r="U59" s="38">
        <f>IFERROR(VLOOKUP($C59, ProductsMar24!$C$3:$AG$27,19,FALSE),0)</f>
        <v>4</v>
      </c>
      <c r="V59" s="38">
        <f>IFERROR(VLOOKUP($C59, ProductsMar24!$C$3:$AG$27,20,FALSE),0)</f>
        <v>3</v>
      </c>
      <c r="W59" s="38">
        <f>IFERROR(VLOOKUP($C59, ProductsMar24!$C$3:$AG$27,21,FALSE),0)</f>
        <v>0</v>
      </c>
      <c r="X59" s="38">
        <f>IFERROR(VLOOKUP($C59, ProductsMar24!$C$3:$AG$27,22,FALSE),0)</f>
        <v>0</v>
      </c>
      <c r="Y59" s="38">
        <f>IFERROR(VLOOKUP($C59, ProductsMar24!$C$3:$AG$27,23,FALSE),0)</f>
        <v>0</v>
      </c>
      <c r="Z59" s="38">
        <f>IFERROR(VLOOKUP($C59, ProductsMar24!$C$3:$AG$27,24,FALSE),0)</f>
        <v>0</v>
      </c>
      <c r="AA59" s="38">
        <f>IFERROR(VLOOKUP($C59, ProductsMar24!$C$3:$AG$27,25,FALSE),0)</f>
        <v>0</v>
      </c>
      <c r="AB59" s="38">
        <f>IFERROR(VLOOKUP($C59, ProductsMar24!$C$3:$AG$27,26,FALSE),0)</f>
        <v>795</v>
      </c>
      <c r="AC59" s="38">
        <f>IFERROR(VLOOKUP($C59, ProductsMar24!$C$3:$AG$27,27,FALSE),0)</f>
        <v>6</v>
      </c>
      <c r="AD59" s="38">
        <f>IFERROR(VLOOKUP($C59, ProductsMar24!$C$3:$AG$27,28,FALSE),0)</f>
        <v>1</v>
      </c>
      <c r="AE59" s="38">
        <f>IFERROR(VLOOKUP($C59, ProductsMar24!$C$3:$AG$27,29,FALSE),0)</f>
        <v>6</v>
      </c>
      <c r="AF59" s="38">
        <f>IFERROR(VLOOKUP($C59, ProductsMar24!$C$3:$AG$27,30,FALSE),0)</f>
        <v>0</v>
      </c>
      <c r="AG59" s="38">
        <f>IFERROR(VLOOKUP($C59, ProductsMar24!$C$3:$AG$27,31,FALSE),0)</f>
        <v>5</v>
      </c>
      <c r="AH59" s="38"/>
      <c r="AI59" s="38"/>
      <c r="AJ59" s="13">
        <f t="shared" si="1"/>
        <v>1218</v>
      </c>
      <c r="AL59" s="55"/>
      <c r="AM59" s="56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2"/>
    </row>
    <row r="60" spans="2:70" ht="25.5" thickTop="1" thickBot="1">
      <c r="B60" s="21" t="s">
        <v>27</v>
      </c>
      <c r="C60" s="2" t="s">
        <v>28</v>
      </c>
      <c r="D60" s="23" t="s">
        <v>113</v>
      </c>
      <c r="E60" s="38">
        <f>IFERROR(VLOOKUP($C60,ProductsMar24!$C$3:$AG$27,4,FALSE),0)</f>
        <v>158</v>
      </c>
      <c r="F60" s="38">
        <f>IFERROR(VLOOKUP($C60, ProductsMar24!$C$3:$AG$27,5,FALSE),0)</f>
        <v>2</v>
      </c>
      <c r="G60" s="38">
        <f>IFERROR(VLOOKUP($C60, ProductsMar24!$C$3:$AG$27,6,FALSE),0)</f>
        <v>0</v>
      </c>
      <c r="H60" s="38">
        <f>IFERROR(VLOOKUP($C60, ProductsMar24!$C$3:$AG$27,7,FALSE),0)</f>
        <v>0</v>
      </c>
      <c r="I60" s="38">
        <f>IFERROR(VLOOKUP($C60, ProductsMar24!$C$3:$AG$27,8,FALSE),0)</f>
        <v>4</v>
      </c>
      <c r="J60" s="38">
        <f>IFERROR(VLOOKUP($C60, ProductsMar24!$C$3:$AG$27,9,FALSE),0)</f>
        <v>22</v>
      </c>
      <c r="K60" s="38">
        <f>IFERROR(VLOOKUP($C60, ProductsMar24!$C$3:$AG$27,10,FALSE),0)</f>
        <v>1</v>
      </c>
      <c r="L60" s="38">
        <f>IFERROR(VLOOKUP($C60, ProductsMar24!$C$3:$AG$27,11,FALSE),0)</f>
        <v>0</v>
      </c>
      <c r="M60" s="38">
        <f>IFERROR(VLOOKUP($C60, ProductsMar24!$C$3:$AG$27,15,FALSE),0)</f>
        <v>0</v>
      </c>
      <c r="N60" s="38">
        <f>IFERROR(VLOOKUP($C60, ProductsMar24!$C$3:$AG$27,12,FALSE),0)</f>
        <v>58</v>
      </c>
      <c r="O60" s="38">
        <f>IFERROR(VLOOKUP($C60, ProductsMar24!$C$3:$AG$27,13,FALSE),0)</f>
        <v>2</v>
      </c>
      <c r="P60" s="38">
        <f>IFERROR(VLOOKUP($C60, ProductsMar24!$C$3:$AG$27,14,FALSE),0)</f>
        <v>198</v>
      </c>
      <c r="Q60" s="38">
        <f>IFERROR(VLOOKUP($C60, ProductsMar24!$C$3:$AG$27,16,FALSE),0)</f>
        <v>10</v>
      </c>
      <c r="R60" s="38">
        <f>IFERROR(VLOOKUP($C60, ProductsMar24!$C$3:$AG$27,17,FALSE),0)</f>
        <v>0</v>
      </c>
      <c r="S60" s="38">
        <f>IFERROR(VLOOKUP($C60, ProductsMar24!$C$3:$AG$27,18,FALSE),0)</f>
        <v>0</v>
      </c>
      <c r="T60" s="38">
        <v>0</v>
      </c>
      <c r="U60" s="38">
        <f>IFERROR(VLOOKUP($C60, ProductsMar24!$C$3:$AG$27,19,FALSE),0)</f>
        <v>72</v>
      </c>
      <c r="V60" s="38">
        <f>IFERROR(VLOOKUP($C60, ProductsMar24!$C$3:$AG$27,20,FALSE),0)</f>
        <v>0</v>
      </c>
      <c r="W60" s="38">
        <f>IFERROR(VLOOKUP($C60, ProductsMar24!$C$3:$AG$27,21,FALSE),0)</f>
        <v>1</v>
      </c>
      <c r="X60" s="38">
        <f>IFERROR(VLOOKUP($C60, ProductsMar24!$C$3:$AG$27,22,FALSE),0)</f>
        <v>0</v>
      </c>
      <c r="Y60" s="38">
        <f>IFERROR(VLOOKUP($C60, ProductsMar24!$C$3:$AG$27,23,FALSE),0)</f>
        <v>5</v>
      </c>
      <c r="Z60" s="38">
        <f>IFERROR(VLOOKUP($C60, ProductsMar24!$C$3:$AG$27,24,FALSE),0)</f>
        <v>22</v>
      </c>
      <c r="AA60" s="38">
        <f>IFERROR(VLOOKUP($C60, ProductsMar24!$C$3:$AG$27,25,FALSE),0)</f>
        <v>0</v>
      </c>
      <c r="AB60" s="38">
        <f>IFERROR(VLOOKUP($C60, ProductsMar24!$C$3:$AG$27,26,FALSE),0)</f>
        <v>0</v>
      </c>
      <c r="AC60" s="38">
        <f>IFERROR(VLOOKUP($C60, ProductsMar24!$C$3:$AG$27,27,FALSE),0)</f>
        <v>6</v>
      </c>
      <c r="AD60" s="38">
        <f>IFERROR(VLOOKUP($C60, ProductsMar24!$C$3:$AG$27,28,FALSE),0)</f>
        <v>2</v>
      </c>
      <c r="AE60" s="38">
        <f>IFERROR(VLOOKUP($C60, ProductsMar24!$C$3:$AG$27,29,FALSE),0)</f>
        <v>0</v>
      </c>
      <c r="AF60" s="38">
        <f>IFERROR(VLOOKUP($C60, ProductsMar24!$C$3:$AG$27,30,FALSE),0)</f>
        <v>49</v>
      </c>
      <c r="AG60" s="38">
        <f>IFERROR(VLOOKUP($C60, ProductsMar24!$C$3:$AG$27,31,FALSE),0)</f>
        <v>0</v>
      </c>
      <c r="AH60" s="38"/>
      <c r="AI60" s="38"/>
      <c r="AJ60" s="13">
        <f t="shared" si="1"/>
        <v>612</v>
      </c>
      <c r="AL60" s="55" t="s">
        <v>148</v>
      </c>
      <c r="AM60" s="56" t="s">
        <v>94</v>
      </c>
      <c r="AN60" s="53">
        <v>3628</v>
      </c>
      <c r="AO60" s="53">
        <v>87</v>
      </c>
      <c r="AP60" s="53">
        <v>468</v>
      </c>
      <c r="AQ60" s="53">
        <v>0</v>
      </c>
      <c r="AR60" s="53">
        <v>2</v>
      </c>
      <c r="AS60" s="53">
        <v>4</v>
      </c>
      <c r="AT60" s="53">
        <v>209</v>
      </c>
      <c r="AU60" s="53">
        <v>132</v>
      </c>
      <c r="AV60" s="53">
        <v>49</v>
      </c>
      <c r="AW60" s="53">
        <v>415</v>
      </c>
      <c r="AX60" s="53">
        <v>5</v>
      </c>
      <c r="AY60" s="53">
        <v>1487</v>
      </c>
      <c r="AZ60" s="53">
        <v>110</v>
      </c>
      <c r="BA60" s="53">
        <v>0</v>
      </c>
      <c r="BB60" s="53">
        <v>0</v>
      </c>
      <c r="BC60" s="53">
        <v>22</v>
      </c>
      <c r="BD60" s="53">
        <v>7</v>
      </c>
      <c r="BE60" s="53">
        <v>377</v>
      </c>
      <c r="BF60" s="53">
        <v>6</v>
      </c>
      <c r="BG60" s="53">
        <v>0</v>
      </c>
      <c r="BH60" s="53">
        <v>5</v>
      </c>
      <c r="BI60" s="53">
        <v>0</v>
      </c>
      <c r="BJ60" s="53">
        <v>115</v>
      </c>
      <c r="BK60" s="53">
        <v>15</v>
      </c>
      <c r="BL60" s="53">
        <v>57</v>
      </c>
      <c r="BM60" s="53">
        <v>24</v>
      </c>
      <c r="BN60" s="53">
        <v>0</v>
      </c>
      <c r="BO60" s="53">
        <v>23</v>
      </c>
      <c r="BP60" s="53">
        <v>9</v>
      </c>
      <c r="BQ60" s="53">
        <v>0</v>
      </c>
      <c r="BR60" s="52"/>
    </row>
    <row r="61" spans="2:70" ht="16.5" thickTop="1" thickBot="1">
      <c r="B61" s="11"/>
      <c r="C61" s="12" t="s">
        <v>62</v>
      </c>
      <c r="D61" s="12"/>
      <c r="E61" s="19">
        <f>SUM(Table14224553[AT])</f>
        <v>979</v>
      </c>
      <c r="F61" s="19">
        <f>SUM(Table14224553[BE])</f>
        <v>3945</v>
      </c>
      <c r="G61" s="19">
        <f>SUM(Table14224553[BG])</f>
        <v>98</v>
      </c>
      <c r="H61" s="19">
        <f>SUM(Table14224553[CY])</f>
        <v>33</v>
      </c>
      <c r="I61" s="19">
        <f>SUM(Table14224553[CZ])</f>
        <v>5395</v>
      </c>
      <c r="J61" s="19">
        <f>SUM(Table14224553[DE])</f>
        <v>1749</v>
      </c>
      <c r="K61" s="19">
        <f>SUM(Table14224553[DK])</f>
        <v>5731</v>
      </c>
      <c r="L61" s="19">
        <f>SUM(Table14224553[EE])</f>
        <v>852</v>
      </c>
      <c r="M61" s="19">
        <f>SUM(Table14224553[EL])</f>
        <v>343</v>
      </c>
      <c r="N61" s="19">
        <f>SUM(Table14224553[ES])</f>
        <v>3383</v>
      </c>
      <c r="O61" s="19">
        <f>SUM(Table14224553[FI])</f>
        <v>344</v>
      </c>
      <c r="P61" s="19">
        <f>SUM(Table14224553[FR])</f>
        <v>11881</v>
      </c>
      <c r="Q61" s="19">
        <f>SUM(Table14224553[[HR ]])</f>
        <v>57</v>
      </c>
      <c r="R61" s="19">
        <f>SUM(Table14224553[HU])</f>
        <v>59</v>
      </c>
      <c r="S61" s="19">
        <f>SUM(Table14224553[IE])</f>
        <v>141</v>
      </c>
      <c r="T61" s="19">
        <f>SUM(Table14224553[IS])</f>
        <v>0</v>
      </c>
      <c r="U61" s="19">
        <f>SUM(Table14224553[IT])</f>
        <v>13939</v>
      </c>
      <c r="V61" s="19">
        <f>SUM(Table14224553[LT])</f>
        <v>137</v>
      </c>
      <c r="W61" s="19">
        <f>SUM(Table14224553[LU])</f>
        <v>13</v>
      </c>
      <c r="X61" s="19">
        <f>SUM(Table14224553[LV])</f>
        <v>92</v>
      </c>
      <c r="Y61" s="19">
        <f>SUM(Table14224553[MT])</f>
        <v>18</v>
      </c>
      <c r="Z61" s="19">
        <f>SUM(Table14224553[NL])</f>
        <v>1886</v>
      </c>
      <c r="AA61" s="19">
        <f>SUM(Table14224553[NO])</f>
        <v>194</v>
      </c>
      <c r="AB61" s="19">
        <f>SUM(Table14224553[PL])</f>
        <v>2739</v>
      </c>
      <c r="AC61" s="19">
        <f>SUM(Table14224553[PT])</f>
        <v>6844</v>
      </c>
      <c r="AD61" s="19">
        <f>SUM(Table14224553[RO])</f>
        <v>130</v>
      </c>
      <c r="AE61" s="19">
        <f>SUM(Table14224553[SE])</f>
        <v>6589</v>
      </c>
      <c r="AF61" s="19">
        <f>SUM(Table14224553[SI])</f>
        <v>86</v>
      </c>
      <c r="AG61" s="19">
        <f>SUM(Table14224553[SK])</f>
        <v>15</v>
      </c>
      <c r="AH61" s="19">
        <f>SUM(Table14224553[GB-NIR])</f>
        <v>0</v>
      </c>
      <c r="AI61" s="19">
        <f>SUM(Table14224553[NI])</f>
        <v>0</v>
      </c>
      <c r="AJ61" s="19">
        <f>SUM(AJ35:AJ60)</f>
        <v>67589</v>
      </c>
      <c r="AL61" s="55" t="s">
        <v>147</v>
      </c>
      <c r="AM61" s="56" t="s">
        <v>96</v>
      </c>
      <c r="AN61" s="53">
        <v>142</v>
      </c>
      <c r="AO61" s="53">
        <v>10</v>
      </c>
      <c r="AP61" s="53">
        <v>2</v>
      </c>
      <c r="AQ61" s="53">
        <v>0</v>
      </c>
      <c r="AR61" s="53">
        <v>0</v>
      </c>
      <c r="AS61" s="53">
        <v>0</v>
      </c>
      <c r="AT61" s="53">
        <v>13</v>
      </c>
      <c r="AU61" s="53">
        <v>2</v>
      </c>
      <c r="AV61" s="53">
        <v>28</v>
      </c>
      <c r="AW61" s="53">
        <v>22</v>
      </c>
      <c r="AX61" s="53">
        <v>0</v>
      </c>
      <c r="AY61" s="53">
        <v>1</v>
      </c>
      <c r="AZ61" s="53">
        <v>4</v>
      </c>
      <c r="BA61" s="53">
        <v>0</v>
      </c>
      <c r="BB61" s="53">
        <v>0</v>
      </c>
      <c r="BC61" s="53">
        <v>0</v>
      </c>
      <c r="BD61" s="53">
        <v>0</v>
      </c>
      <c r="BE61" s="53">
        <v>37</v>
      </c>
      <c r="BF61" s="53">
        <v>0</v>
      </c>
      <c r="BG61" s="53">
        <v>0</v>
      </c>
      <c r="BH61" s="53">
        <v>0</v>
      </c>
      <c r="BI61" s="53">
        <v>0</v>
      </c>
      <c r="BJ61" s="53">
        <v>2</v>
      </c>
      <c r="BK61" s="53">
        <v>4</v>
      </c>
      <c r="BL61" s="53">
        <v>0</v>
      </c>
      <c r="BM61" s="53">
        <v>0</v>
      </c>
      <c r="BN61" s="53">
        <v>0</v>
      </c>
      <c r="BO61" s="53">
        <v>17</v>
      </c>
      <c r="BP61" s="53">
        <v>0</v>
      </c>
      <c r="BQ61" s="53">
        <v>0</v>
      </c>
      <c r="BR61" s="52"/>
    </row>
    <row r="62" spans="2:70" ht="15.75" thickTop="1">
      <c r="AL62" s="55" t="s">
        <v>146</v>
      </c>
      <c r="AM62" s="56" t="s">
        <v>145</v>
      </c>
      <c r="AN62" s="53">
        <v>23</v>
      </c>
      <c r="AO62" s="53">
        <v>1</v>
      </c>
      <c r="AP62" s="53">
        <v>0</v>
      </c>
      <c r="AQ62" s="53">
        <v>0</v>
      </c>
      <c r="AR62" s="53">
        <v>0</v>
      </c>
      <c r="AS62" s="53">
        <v>3</v>
      </c>
      <c r="AT62" s="53">
        <v>12</v>
      </c>
      <c r="AU62" s="53">
        <v>0</v>
      </c>
      <c r="AV62" s="53">
        <v>0</v>
      </c>
      <c r="AW62" s="53">
        <v>0</v>
      </c>
      <c r="AX62" s="53">
        <v>3</v>
      </c>
      <c r="AY62" s="53">
        <v>0</v>
      </c>
      <c r="AZ62" s="53">
        <v>2</v>
      </c>
      <c r="BA62" s="53">
        <v>0</v>
      </c>
      <c r="BB62" s="53">
        <v>0</v>
      </c>
      <c r="BC62" s="53">
        <v>0</v>
      </c>
      <c r="BD62" s="53">
        <v>0</v>
      </c>
      <c r="BE62" s="53">
        <v>0</v>
      </c>
      <c r="BF62" s="53">
        <v>0</v>
      </c>
      <c r="BG62" s="53">
        <v>0</v>
      </c>
      <c r="BH62" s="53">
        <v>0</v>
      </c>
      <c r="BI62" s="53">
        <v>0</v>
      </c>
      <c r="BJ62" s="53">
        <v>0</v>
      </c>
      <c r="BK62" s="53">
        <v>0</v>
      </c>
      <c r="BL62" s="53">
        <v>0</v>
      </c>
      <c r="BM62" s="53">
        <v>0</v>
      </c>
      <c r="BN62" s="53">
        <v>0</v>
      </c>
      <c r="BO62" s="53">
        <v>2</v>
      </c>
      <c r="BP62" s="53">
        <v>0</v>
      </c>
      <c r="BQ62" s="53">
        <v>0</v>
      </c>
      <c r="BR62" s="52"/>
    </row>
    <row r="63" spans="2:70">
      <c r="AL63" s="55" t="s">
        <v>20</v>
      </c>
      <c r="AM63" s="54" t="s">
        <v>108</v>
      </c>
      <c r="AN63" s="53"/>
      <c r="AO63" s="53">
        <v>4</v>
      </c>
      <c r="AP63" s="53">
        <v>27</v>
      </c>
      <c r="AQ63" s="53">
        <v>0</v>
      </c>
      <c r="AR63" s="53">
        <v>1</v>
      </c>
      <c r="AS63" s="53">
        <v>4</v>
      </c>
      <c r="AT63" s="53">
        <v>173</v>
      </c>
      <c r="AU63" s="53">
        <v>0</v>
      </c>
      <c r="AV63" s="53">
        <v>0</v>
      </c>
      <c r="AW63" s="53">
        <v>19</v>
      </c>
      <c r="AX63" s="53">
        <v>7</v>
      </c>
      <c r="AY63" s="53">
        <v>64</v>
      </c>
      <c r="AZ63" s="53">
        <v>63</v>
      </c>
      <c r="BA63" s="53">
        <v>0</v>
      </c>
      <c r="BB63" s="53">
        <v>0</v>
      </c>
      <c r="BC63" s="53">
        <v>0</v>
      </c>
      <c r="BD63" s="53">
        <v>13</v>
      </c>
      <c r="BE63" s="53">
        <v>1</v>
      </c>
      <c r="BF63" s="53">
        <v>0</v>
      </c>
      <c r="BG63" s="53">
        <v>0</v>
      </c>
      <c r="BH63" s="53">
        <v>0</v>
      </c>
      <c r="BI63" s="53">
        <v>0</v>
      </c>
      <c r="BJ63" s="53">
        <v>47</v>
      </c>
      <c r="BK63" s="53">
        <v>1</v>
      </c>
      <c r="BL63" s="53">
        <v>11</v>
      </c>
      <c r="BM63" s="53">
        <v>0</v>
      </c>
      <c r="BN63" s="53">
        <v>1</v>
      </c>
      <c r="BO63" s="53">
        <v>11</v>
      </c>
      <c r="BP63" s="53">
        <v>1</v>
      </c>
      <c r="BQ63" s="53">
        <v>0</v>
      </c>
      <c r="BR63" s="52"/>
    </row>
    <row r="64" spans="2:70" ht="15.75" thickBot="1">
      <c r="AL64" s="51" t="s">
        <v>28</v>
      </c>
      <c r="AM64" s="50" t="s">
        <v>144</v>
      </c>
      <c r="AN64" s="49">
        <v>1005</v>
      </c>
      <c r="AO64" s="49">
        <v>118</v>
      </c>
      <c r="AP64" s="49">
        <v>3</v>
      </c>
      <c r="AQ64" s="49">
        <v>0</v>
      </c>
      <c r="AR64" s="49">
        <v>2</v>
      </c>
      <c r="AS64" s="49">
        <v>12</v>
      </c>
      <c r="AT64" s="49">
        <v>17</v>
      </c>
      <c r="AU64" s="49">
        <v>11</v>
      </c>
      <c r="AV64" s="49">
        <v>0</v>
      </c>
      <c r="AW64" s="49">
        <v>121</v>
      </c>
      <c r="AX64" s="49">
        <v>4</v>
      </c>
      <c r="AY64" s="49">
        <v>238</v>
      </c>
      <c r="AZ64" s="49">
        <v>7</v>
      </c>
      <c r="BA64" s="49">
        <v>4</v>
      </c>
      <c r="BB64" s="49">
        <v>2</v>
      </c>
      <c r="BC64" s="49">
        <v>1</v>
      </c>
      <c r="BD64" s="49">
        <v>12</v>
      </c>
      <c r="BE64" s="49">
        <v>368</v>
      </c>
      <c r="BF64" s="49">
        <v>0</v>
      </c>
      <c r="BG64" s="49">
        <v>2</v>
      </c>
      <c r="BH64" s="49">
        <v>0</v>
      </c>
      <c r="BI64" s="49">
        <v>8</v>
      </c>
      <c r="BJ64" s="49">
        <v>6</v>
      </c>
      <c r="BK64" s="49">
        <v>1</v>
      </c>
      <c r="BL64" s="49">
        <v>6</v>
      </c>
      <c r="BM64" s="49">
        <v>13</v>
      </c>
      <c r="BN64" s="49">
        <v>4</v>
      </c>
      <c r="BO64" s="49">
        <v>16</v>
      </c>
      <c r="BP64" s="49">
        <v>21</v>
      </c>
      <c r="BQ64" s="49">
        <v>8</v>
      </c>
      <c r="BR64" s="48"/>
    </row>
  </sheetData>
  <hyperlinks>
    <hyperlink ref="D57" r:id="rId1" display="2011/333/EU " xr:uid="{BF37A141-F965-41D2-B507-007ADFA22FF9}"/>
    <hyperlink ref="D58" r:id="rId2" display="2009/568/EC" xr:uid="{D3991D3B-337B-47D2-B31B-B10CFB45E513}"/>
    <hyperlink ref="D60" r:id="rId3" display="2017/175/EC" xr:uid="{A2BDA5EB-D186-46A6-B41B-6BE0CE61083D}"/>
    <hyperlink ref="D29" r:id="rId4" display="2017/175/EC" xr:uid="{AC45CF12-5EA3-4676-84B2-9076B1BDA99C}"/>
    <hyperlink ref="D26" r:id="rId5" display="2011/333/EU " xr:uid="{FC203C67-2125-4F99-AF0E-2F27D126FD59}"/>
    <hyperlink ref="D27" r:id="rId6" display="2009/568/EC" xr:uid="{1927FFB1-8182-4825-9732-068BAF64D588}"/>
  </hyperlinks>
  <pageMargins left="0.7" right="0.7" top="0.75" bottom="0.75" header="0.3" footer="0.3"/>
  <pageSetup paperSize="9" orientation="portrait" r:id="rId7"/>
  <tableParts count="2">
    <tablePart r:id="rId8"/>
    <tablePart r:id="rId9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E6A06-E66D-40EE-82FE-BDA58CDB2BED}">
  <sheetPr>
    <tabColor rgb="FFC00000"/>
  </sheetPr>
  <dimension ref="A1:AV66"/>
  <sheetViews>
    <sheetView topLeftCell="A22" zoomScale="60" zoomScaleNormal="60" workbookViewId="0">
      <selection activeCell="V13" sqref="V13"/>
    </sheetView>
  </sheetViews>
  <sheetFormatPr baseColWidth="10" defaultColWidth="8.5703125" defaultRowHeight="15"/>
  <cols>
    <col min="1" max="1" width="20.5703125" customWidth="1"/>
    <col min="3" max="3" width="17.42578125" customWidth="1"/>
    <col min="4" max="4" width="42.42578125" customWidth="1"/>
    <col min="5" max="5" width="11" customWidth="1"/>
    <col min="6" max="6" width="8.5703125" customWidth="1"/>
    <col min="7" max="7" width="8.7109375" customWidth="1"/>
    <col min="8" max="32" width="8.5703125" customWidth="1"/>
    <col min="37" max="37" width="13.28515625" customWidth="1"/>
    <col min="39" max="39" width="23.28515625" bestFit="1" customWidth="1"/>
  </cols>
  <sheetData>
    <row r="1" spans="1:37" ht="15.75" thickBot="1">
      <c r="C1" s="4"/>
      <c r="D1" s="4"/>
      <c r="E1" s="4"/>
      <c r="F1" s="4" t="s">
        <v>230</v>
      </c>
      <c r="G1" s="4" t="s">
        <v>230</v>
      </c>
      <c r="H1" s="4"/>
      <c r="I1" s="4" t="s">
        <v>230</v>
      </c>
      <c r="J1" s="4"/>
      <c r="K1" s="4" t="s">
        <v>230</v>
      </c>
      <c r="L1" s="4" t="s">
        <v>230</v>
      </c>
      <c r="M1" s="4" t="s">
        <v>230</v>
      </c>
      <c r="N1" s="4" t="s">
        <v>230</v>
      </c>
      <c r="O1" s="4" t="s">
        <v>230</v>
      </c>
      <c r="P1" s="4" t="s">
        <v>230</v>
      </c>
      <c r="Q1" s="4" t="s">
        <v>230</v>
      </c>
      <c r="R1" s="4"/>
      <c r="S1" s="4" t="s">
        <v>230</v>
      </c>
      <c r="T1" s="4" t="s">
        <v>230</v>
      </c>
      <c r="U1" s="4"/>
      <c r="V1" s="4" t="s">
        <v>230</v>
      </c>
      <c r="W1" s="4"/>
      <c r="X1" s="4" t="s">
        <v>230</v>
      </c>
      <c r="Y1" s="4"/>
      <c r="Z1" s="4"/>
      <c r="AA1" s="4" t="s">
        <v>230</v>
      </c>
      <c r="AB1" s="4"/>
      <c r="AC1" s="4" t="s">
        <v>230</v>
      </c>
      <c r="AD1" s="4"/>
      <c r="AE1" s="4" t="s">
        <v>230</v>
      </c>
      <c r="AF1" s="4" t="s">
        <v>230</v>
      </c>
      <c r="AG1" s="4" t="s">
        <v>230</v>
      </c>
      <c r="AH1" s="4"/>
      <c r="AI1" s="4"/>
      <c r="AJ1" s="4"/>
      <c r="AK1" s="4"/>
    </row>
    <row r="2" spans="1:37" ht="16.5" thickTop="1" thickBot="1">
      <c r="C2" s="5" t="s">
        <v>34</v>
      </c>
      <c r="D2" s="6"/>
      <c r="E2" s="6"/>
      <c r="F2" s="7"/>
      <c r="G2" s="7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9"/>
    </row>
    <row r="3" spans="1:37" ht="31.5" thickTop="1" thickBot="1">
      <c r="A3" s="69" t="s">
        <v>163</v>
      </c>
      <c r="C3" s="10"/>
      <c r="D3" s="3"/>
      <c r="E3" s="3"/>
      <c r="F3" s="20" t="s">
        <v>35</v>
      </c>
      <c r="G3" s="20" t="s">
        <v>36</v>
      </c>
      <c r="H3" s="20" t="s">
        <v>37</v>
      </c>
      <c r="I3" s="20" t="s">
        <v>39</v>
      </c>
      <c r="J3" s="20" t="s">
        <v>33</v>
      </c>
      <c r="K3" s="20" t="s">
        <v>44</v>
      </c>
      <c r="L3" s="20" t="s">
        <v>40</v>
      </c>
      <c r="M3" s="20" t="s">
        <v>41</v>
      </c>
      <c r="N3" s="20" t="s">
        <v>135</v>
      </c>
      <c r="O3" s="20" t="s">
        <v>59</v>
      </c>
      <c r="P3" s="20" t="s">
        <v>42</v>
      </c>
      <c r="Q3" s="20" t="s">
        <v>43</v>
      </c>
      <c r="R3" s="20" t="s">
        <v>137</v>
      </c>
      <c r="S3" s="20" t="s">
        <v>45</v>
      </c>
      <c r="T3" s="20" t="s">
        <v>47</v>
      </c>
      <c r="U3" s="20" t="s">
        <v>46</v>
      </c>
      <c r="V3" s="20" t="s">
        <v>48</v>
      </c>
      <c r="W3" s="20" t="s">
        <v>50</v>
      </c>
      <c r="X3" s="20" t="s">
        <v>51</v>
      </c>
      <c r="Y3" s="20" t="s">
        <v>49</v>
      </c>
      <c r="Z3" s="20" t="s">
        <v>52</v>
      </c>
      <c r="AA3" s="20" t="s">
        <v>53</v>
      </c>
      <c r="AB3" s="20" t="s">
        <v>54</v>
      </c>
      <c r="AC3" s="20" t="s">
        <v>121</v>
      </c>
      <c r="AD3" s="20" t="s">
        <v>55</v>
      </c>
      <c r="AE3" s="20" t="s">
        <v>56</v>
      </c>
      <c r="AF3" s="20" t="s">
        <v>60</v>
      </c>
      <c r="AG3" s="20" t="s">
        <v>58</v>
      </c>
      <c r="AH3" s="20" t="s">
        <v>57</v>
      </c>
      <c r="AI3" s="45" t="s">
        <v>136</v>
      </c>
      <c r="AJ3" s="14"/>
      <c r="AK3" s="15" t="s">
        <v>61</v>
      </c>
    </row>
    <row r="4" spans="1:37" ht="15.75" thickTop="1">
      <c r="A4" s="70"/>
      <c r="C4" s="169" t="s">
        <v>1</v>
      </c>
      <c r="D4" s="2" t="s">
        <v>172</v>
      </c>
      <c r="E4" s="77" t="s">
        <v>92</v>
      </c>
      <c r="F4" s="44" t="e">
        <f>Table1321344[[#This Row],[AT]]-A_BackendPGCompil_March2025!E4</f>
        <v>#REF!</v>
      </c>
      <c r="G4" s="44" t="e">
        <f>Table1321344[[#This Row],[BE]]-Table13[[#This Row],[BE]]</f>
        <v>#REF!</v>
      </c>
      <c r="H4" s="44" t="e">
        <f>Table1321344[[#This Row],[BG]]-Table13[[#This Row],[BG]]</f>
        <v>#REF!</v>
      </c>
      <c r="I4" s="44" t="e">
        <f>Table1321344[[#This Row],[CY]]-Table13[[#This Row],[CY]]</f>
        <v>#REF!</v>
      </c>
      <c r="J4" s="44" t="e">
        <f>Table1321344[[#This Row],[CZ]]-Table13[[#This Row],[CZ]]</f>
        <v>#REF!</v>
      </c>
      <c r="K4" s="44" t="e">
        <f>Table1321344[[#This Row],[DE]]-Table13[[#This Row],[DE]]</f>
        <v>#REF!</v>
      </c>
      <c r="L4" s="44" t="e">
        <f>Table1321344[[#This Row],[DK]]-Table13[[#This Row],[DK]]</f>
        <v>#REF!</v>
      </c>
      <c r="M4" s="44" t="e">
        <f>Table1321344[[#This Row],[EE]]-Table13[[#This Row],[EE]]</f>
        <v>#REF!</v>
      </c>
      <c r="N4" s="44" t="e">
        <f>Table1321344[[#This Row],[EL]]-Table13[[#This Row],[EL]]</f>
        <v>#REF!</v>
      </c>
      <c r="O4" s="44">
        <f>Table1321344[[#This Row],[ES]]-Table13[[#This Row],[ES]]</f>
        <v>5</v>
      </c>
      <c r="P4" s="44" t="e">
        <f>Table1321344[[#This Row],[FI]]-Table13[[#This Row],[FI]]</f>
        <v>#REF!</v>
      </c>
      <c r="Q4" s="44" t="e">
        <f>Table1321344[[#This Row],[FR]]-Table13[[#This Row],[FR]]</f>
        <v>#REF!</v>
      </c>
      <c r="R4" s="44" t="e">
        <f>Table1321344[[#This Row],[HR ]]-Table13[[#This Row],[HR ]]</f>
        <v>#REF!</v>
      </c>
      <c r="S4" s="44" t="e">
        <f>Table1321344[[#This Row],[HU]]-Table13[[#This Row],[HU]]</f>
        <v>#REF!</v>
      </c>
      <c r="T4" s="44" t="e">
        <f>Table1321344[[#This Row],[IE]]-Table13[[#This Row],[IE]]</f>
        <v>#REF!</v>
      </c>
      <c r="U4" s="44" t="e">
        <f>Table1321344[[#This Row],[IS]]-Table13[[#This Row],[IS]]</f>
        <v>#REF!</v>
      </c>
      <c r="V4" s="44" t="e">
        <f>Table1321344[[#This Row],[IT]]-Table13[[#This Row],[IT]]</f>
        <v>#REF!</v>
      </c>
      <c r="W4" s="44" t="e">
        <f>Table1321344[[#This Row],[LT]]-Table13[[#This Row],[LT]]</f>
        <v>#REF!</v>
      </c>
      <c r="X4" s="44" t="e">
        <f>Table1321344[[#This Row],[LU]]-Table13[[#This Row],[LU]]</f>
        <v>#REF!</v>
      </c>
      <c r="Y4" s="44" t="e">
        <f>Table1321344[[#This Row],[LV]]-Table13[[#This Row],[LV]]</f>
        <v>#REF!</v>
      </c>
      <c r="Z4" s="44" t="e">
        <f>Table1321344[[#This Row],[MT]]-Table13[[#This Row],[MT]]</f>
        <v>#REF!</v>
      </c>
      <c r="AA4" s="44" t="e">
        <f>Table1321344[[#This Row],[NL]]-Table13[[#This Row],[NL]]</f>
        <v>#REF!</v>
      </c>
      <c r="AB4" s="44" t="e">
        <f>Table1321344[[#This Row],[NO]]-Table13[[#This Row],[NO]]</f>
        <v>#REF!</v>
      </c>
      <c r="AC4" s="44" t="e">
        <f>Table1321344[[#This Row],[PL]]-Table13[[#This Row],[PL]]</f>
        <v>#REF!</v>
      </c>
      <c r="AD4" s="44" t="e">
        <f>Table1321344[[#This Row],[PT]]-Table13[[#This Row],[PT]]</f>
        <v>#REF!</v>
      </c>
      <c r="AE4" s="44" t="e">
        <f>Table1321344[[#This Row],[RO]]-Table13[[#This Row],[RO]]</f>
        <v>#REF!</v>
      </c>
      <c r="AF4" s="44" t="e">
        <f>Table1321344[[#This Row],[SE]]-Table13[[#This Row],[SE]]</f>
        <v>#REF!</v>
      </c>
      <c r="AG4" s="44" t="e">
        <f>Table1321344[[#This Row],[SI]]-Table13[[#This Row],[SI]]</f>
        <v>#REF!</v>
      </c>
      <c r="AH4" s="44" t="e">
        <f>Table1321344[[#This Row],[SK]]-Table13[[#This Row],[SK]]</f>
        <v>#REF!</v>
      </c>
      <c r="AI4" s="44" t="e">
        <f>Table1321344[[#This Row],[GB-NIR]]-Table13[[#This Row],[GBNIR]]</f>
        <v>#REF!</v>
      </c>
      <c r="AJ4" s="44">
        <f>Table1321344[[#This Row],[-]]-Table13[[#This Row],[-]]</f>
        <v>0</v>
      </c>
      <c r="AK4" s="44" t="e">
        <f>SUM(F4:AJ4)</f>
        <v>#REF!</v>
      </c>
    </row>
    <row r="5" spans="1:37">
      <c r="C5" s="169"/>
      <c r="D5" s="2" t="s">
        <v>228</v>
      </c>
      <c r="E5" s="23" t="s">
        <v>93</v>
      </c>
      <c r="F5" s="44">
        <f>Table1321344[[#This Row],[AT]]-A_BackendPGCompil_March2025!E5</f>
        <v>0</v>
      </c>
      <c r="G5" s="44">
        <f>Table1321344[[#This Row],[BE]]-Table13[[#This Row],[BE]]</f>
        <v>0</v>
      </c>
      <c r="H5" s="44">
        <f>Table1321344[[#This Row],[BG]]-Table13[[#This Row],[BG]]</f>
        <v>0</v>
      </c>
      <c r="I5" s="44">
        <f>Table1321344[[#This Row],[CY]]-Table13[[#This Row],[CY]]</f>
        <v>0</v>
      </c>
      <c r="J5" s="44">
        <f>Table1321344[[#This Row],[CZ]]-Table13[[#This Row],[CZ]]</f>
        <v>1</v>
      </c>
      <c r="K5" s="44">
        <f>Table1321344[[#This Row],[DE]]-Table13[[#This Row],[DE]]</f>
        <v>6</v>
      </c>
      <c r="L5" s="44">
        <f>Table1321344[[#This Row],[DK]]-Table13[[#This Row],[DK]]</f>
        <v>5</v>
      </c>
      <c r="M5" s="44">
        <f>Table1321344[[#This Row],[EE]]-Table13[[#This Row],[EE]]</f>
        <v>0</v>
      </c>
      <c r="N5" s="44">
        <f>Table1321344[[#This Row],[EL]]-Table13[[#This Row],[EL]]</f>
        <v>0</v>
      </c>
      <c r="O5" s="44">
        <f>Table1321344[[#This Row],[ES]]-Table13[[#This Row],[ES]]</f>
        <v>1</v>
      </c>
      <c r="P5" s="44">
        <f>Table1321344[[#This Row],[FI]]-Table13[[#This Row],[FI]]</f>
        <v>1</v>
      </c>
      <c r="Q5" s="44">
        <f>Table1321344[[#This Row],[FR]]-Table13[[#This Row],[FR]]</f>
        <v>0</v>
      </c>
      <c r="R5" s="44">
        <f>Table1321344[[#This Row],[HR ]]-Table13[[#This Row],[HR ]]</f>
        <v>0</v>
      </c>
      <c r="S5" s="44">
        <f>Table1321344[[#This Row],[HU]]-Table13[[#This Row],[HU]]</f>
        <v>0</v>
      </c>
      <c r="T5" s="44">
        <f>Table1321344[[#This Row],[IE]]-Table13[[#This Row],[IE]]</f>
        <v>0</v>
      </c>
      <c r="U5" s="44">
        <f>Table1321344[[#This Row],[IS]]-Table13[[#This Row],[IS]]</f>
        <v>0</v>
      </c>
      <c r="V5" s="44">
        <f>Table1321344[[#This Row],[IT]]-Table13[[#This Row],[IT]]</f>
        <v>3</v>
      </c>
      <c r="W5" s="44">
        <f>Table1321344[[#This Row],[LT]]-Table13[[#This Row],[LT]]</f>
        <v>0</v>
      </c>
      <c r="X5" s="44">
        <f>Table1321344[[#This Row],[LU]]-Table13[[#This Row],[LU]]</f>
        <v>0</v>
      </c>
      <c r="Y5" s="44">
        <f>Table1321344[[#This Row],[LV]]-Table13[[#This Row],[LV]]</f>
        <v>0</v>
      </c>
      <c r="Z5" s="44">
        <f>Table1321344[[#This Row],[MT]]-Table13[[#This Row],[MT]]</f>
        <v>0</v>
      </c>
      <c r="AA5" s="44">
        <f>Table1321344[[#This Row],[NL]]-Table13[[#This Row],[NL]]</f>
        <v>0</v>
      </c>
      <c r="AB5" s="44">
        <f>Table1321344[[#This Row],[NO]]-Table13[[#This Row],[NO]]</f>
        <v>0</v>
      </c>
      <c r="AC5" s="44">
        <f>Table1321344[[#This Row],[PL]]-Table13[[#This Row],[PL]]</f>
        <v>0</v>
      </c>
      <c r="AD5" s="44">
        <f>Table1321344[[#This Row],[PT]]-Table13[[#This Row],[PT]]</f>
        <v>0</v>
      </c>
      <c r="AE5" s="44">
        <f>Table1321344[[#This Row],[RO]]-Table13[[#This Row],[RO]]</f>
        <v>0</v>
      </c>
      <c r="AF5" s="44">
        <f>Table1321344[[#This Row],[SE]]-Table13[[#This Row],[SE]]</f>
        <v>3</v>
      </c>
      <c r="AG5" s="44">
        <f>Table1321344[[#This Row],[SI]]-Table13[[#This Row],[SI]]</f>
        <v>0</v>
      </c>
      <c r="AH5" s="44">
        <f>Table1321344[[#This Row],[SK]]-Table13[[#This Row],[SK]]</f>
        <v>0</v>
      </c>
      <c r="AI5" s="44">
        <f>Table1321344[[#This Row],[GB-NIR]]-Table13[[#This Row],[GBNIR]]</f>
        <v>0</v>
      </c>
      <c r="AJ5" s="44">
        <f>Table1321344[[#This Row],[-]]-Table13[[#This Row],[-]]</f>
        <v>0</v>
      </c>
      <c r="AK5" s="44">
        <f t="shared" ref="AK5:AK29" si="0">SUM(F5:AJ5)</f>
        <v>20</v>
      </c>
    </row>
    <row r="6" spans="1:37">
      <c r="C6" s="169"/>
      <c r="D6" s="2" t="s">
        <v>229</v>
      </c>
      <c r="E6" s="108" t="s">
        <v>93</v>
      </c>
      <c r="F6" s="44" t="e">
        <f>Table1321344[[#This Row],[AT]]-A_BackendPGCompil_March2025!E6</f>
        <v>#REF!</v>
      </c>
      <c r="G6" s="44" t="e">
        <f>Table1321344[[#This Row],[BE]]-Table13[[#This Row],[BE]]</f>
        <v>#REF!</v>
      </c>
      <c r="H6" s="44" t="e">
        <f>Table1321344[[#This Row],[BG]]-Table13[[#This Row],[BG]]</f>
        <v>#REF!</v>
      </c>
      <c r="I6" s="44" t="e">
        <f>Table1321344[[#This Row],[CY]]-Table13[[#This Row],[CY]]</f>
        <v>#REF!</v>
      </c>
      <c r="J6" s="44" t="e">
        <f>Table1321344[[#This Row],[CZ]]-Table13[[#This Row],[CZ]]</f>
        <v>#REF!</v>
      </c>
      <c r="K6" s="44" t="e">
        <f>Table1321344[[#This Row],[DE]]-Table13[[#This Row],[DE]]</f>
        <v>#REF!</v>
      </c>
      <c r="L6" s="44" t="e">
        <f>Table1321344[[#This Row],[DK]]-Table13[[#This Row],[DK]]</f>
        <v>#REF!</v>
      </c>
      <c r="M6" s="44" t="e">
        <f>Table1321344[[#This Row],[EE]]-Table13[[#This Row],[EE]]</f>
        <v>#REF!</v>
      </c>
      <c r="N6" s="44" t="e">
        <f>Table1321344[[#This Row],[EL]]-Table13[[#This Row],[EL]]</f>
        <v>#REF!</v>
      </c>
      <c r="O6" s="44">
        <f>Table1321344[[#This Row],[ES]]-Table13[[#This Row],[ES]]</f>
        <v>0</v>
      </c>
      <c r="P6" s="44" t="e">
        <f>Table1321344[[#This Row],[FI]]-Table13[[#This Row],[FI]]</f>
        <v>#REF!</v>
      </c>
      <c r="Q6" s="44" t="e">
        <f>Table1321344[[#This Row],[FR]]-Table13[[#This Row],[FR]]</f>
        <v>#REF!</v>
      </c>
      <c r="R6" s="44" t="e">
        <f>Table1321344[[#This Row],[HR ]]-Table13[[#This Row],[HR ]]</f>
        <v>#REF!</v>
      </c>
      <c r="S6" s="44" t="e">
        <f>Table1321344[[#This Row],[HU]]-Table13[[#This Row],[HU]]</f>
        <v>#REF!</v>
      </c>
      <c r="T6" s="44" t="e">
        <f>Table1321344[[#This Row],[IE]]-Table13[[#This Row],[IE]]</f>
        <v>#REF!</v>
      </c>
      <c r="U6" s="44" t="e">
        <f>Table1321344[[#This Row],[IS]]-Table13[[#This Row],[IS]]</f>
        <v>#REF!</v>
      </c>
      <c r="V6" s="44" t="e">
        <f>Table1321344[[#This Row],[IT]]-Table13[[#This Row],[IT]]</f>
        <v>#REF!</v>
      </c>
      <c r="W6" s="44" t="e">
        <f>Table1321344[[#This Row],[LT]]-Table13[[#This Row],[LT]]</f>
        <v>#REF!</v>
      </c>
      <c r="X6" s="44" t="e">
        <f>Table1321344[[#This Row],[LU]]-Table13[[#This Row],[LU]]</f>
        <v>#REF!</v>
      </c>
      <c r="Y6" s="44" t="e">
        <f>Table1321344[[#This Row],[LV]]-Table13[[#This Row],[LV]]</f>
        <v>#REF!</v>
      </c>
      <c r="Z6" s="44" t="e">
        <f>Table1321344[[#This Row],[MT]]-Table13[[#This Row],[MT]]</f>
        <v>#REF!</v>
      </c>
      <c r="AA6" s="44" t="e">
        <f>Table1321344[[#This Row],[NL]]-Table13[[#This Row],[NL]]</f>
        <v>#REF!</v>
      </c>
      <c r="AB6" s="44" t="e">
        <f>Table1321344[[#This Row],[NO]]-Table13[[#This Row],[NO]]</f>
        <v>#REF!</v>
      </c>
      <c r="AC6" s="44" t="e">
        <f>Table1321344[[#This Row],[PL]]-Table13[[#This Row],[PL]]</f>
        <v>#REF!</v>
      </c>
      <c r="AD6" s="44" t="e">
        <f>Table1321344[[#This Row],[PT]]-Table13[[#This Row],[PT]]</f>
        <v>#REF!</v>
      </c>
      <c r="AE6" s="44" t="e">
        <f>Table1321344[[#This Row],[RO]]-Table13[[#This Row],[RO]]</f>
        <v>#REF!</v>
      </c>
      <c r="AF6" s="44" t="e">
        <f>Table1321344[[#This Row],[SE]]-Table13[[#This Row],[SE]]</f>
        <v>#REF!</v>
      </c>
      <c r="AG6" s="44" t="e">
        <f>Table1321344[[#This Row],[SI]]-Table13[[#This Row],[SI]]</f>
        <v>#REF!</v>
      </c>
      <c r="AH6" s="44" t="e">
        <f>Table1321344[[#This Row],[SK]]-Table13[[#This Row],[SK]]</f>
        <v>#REF!</v>
      </c>
      <c r="AI6" s="44" t="e">
        <f>Table1321344[[#This Row],[GB-NIR]]-Table13[[#This Row],[GBNIR]]</f>
        <v>#REF!</v>
      </c>
      <c r="AJ6" s="44"/>
      <c r="AK6" s="44" t="e">
        <f t="shared" si="0"/>
        <v>#REF!</v>
      </c>
    </row>
    <row r="7" spans="1:37">
      <c r="C7" s="169"/>
      <c r="D7" s="107" t="s">
        <v>226</v>
      </c>
      <c r="E7" s="108" t="s">
        <v>227</v>
      </c>
      <c r="F7" s="44" t="e">
        <f>Table1321344[[#This Row],[AT]]-A_BackendPGCompil_March2025!E7</f>
        <v>#REF!</v>
      </c>
      <c r="G7" s="44" t="e">
        <f>Table1321344[[#This Row],[BE]]-Table13[[#This Row],[BE]]</f>
        <v>#REF!</v>
      </c>
      <c r="H7" s="44" t="e">
        <f>Table1321344[[#This Row],[BG]]-Table13[[#This Row],[BG]]</f>
        <v>#REF!</v>
      </c>
      <c r="I7" s="44" t="e">
        <f>Table1321344[[#This Row],[CY]]-Table13[[#This Row],[CY]]</f>
        <v>#REF!</v>
      </c>
      <c r="J7" s="44" t="e">
        <f>Table1321344[[#This Row],[CZ]]-Table13[[#This Row],[CZ]]</f>
        <v>#REF!</v>
      </c>
      <c r="K7" s="44" t="e">
        <f>Table1321344[[#This Row],[DE]]-Table13[[#This Row],[DE]]</f>
        <v>#REF!</v>
      </c>
      <c r="L7" s="44" t="e">
        <f>Table1321344[[#This Row],[DK]]-Table13[[#This Row],[DK]]</f>
        <v>#REF!</v>
      </c>
      <c r="M7" s="44" t="e">
        <f>Table1321344[[#This Row],[EE]]-Table13[[#This Row],[EE]]</f>
        <v>#REF!</v>
      </c>
      <c r="N7" s="44" t="e">
        <f>Table1321344[[#This Row],[EL]]-Table13[[#This Row],[EL]]</f>
        <v>#REF!</v>
      </c>
      <c r="O7" s="44">
        <f>Table1321344[[#This Row],[ES]]-Table13[[#This Row],[ES]]</f>
        <v>0</v>
      </c>
      <c r="P7" s="44" t="e">
        <f>Table1321344[[#This Row],[FI]]-Table13[[#This Row],[FI]]</f>
        <v>#REF!</v>
      </c>
      <c r="Q7" s="44" t="e">
        <f>Table1321344[[#This Row],[FR]]-Table13[[#This Row],[FR]]</f>
        <v>#REF!</v>
      </c>
      <c r="R7" s="44" t="e">
        <f>Table1321344[[#This Row],[HR ]]-Table13[[#This Row],[HR ]]</f>
        <v>#REF!</v>
      </c>
      <c r="S7" s="44" t="e">
        <f>Table1321344[[#This Row],[HU]]-Table13[[#This Row],[HU]]</f>
        <v>#REF!</v>
      </c>
      <c r="T7" s="44" t="e">
        <f>Table1321344[[#This Row],[IE]]-Table13[[#This Row],[IE]]</f>
        <v>#REF!</v>
      </c>
      <c r="U7" s="44" t="e">
        <f>Table1321344[[#This Row],[IS]]-Table13[[#This Row],[IS]]</f>
        <v>#REF!</v>
      </c>
      <c r="V7" s="44" t="e">
        <f>Table1321344[[#This Row],[IT]]-Table13[[#This Row],[IT]]</f>
        <v>#REF!</v>
      </c>
      <c r="W7" s="44" t="e">
        <f>Table1321344[[#This Row],[LT]]-Table13[[#This Row],[LT]]</f>
        <v>#REF!</v>
      </c>
      <c r="X7" s="44" t="e">
        <f>Table1321344[[#This Row],[LU]]-Table13[[#This Row],[LU]]</f>
        <v>#REF!</v>
      </c>
      <c r="Y7" s="44" t="e">
        <f>Table1321344[[#This Row],[LV]]-Table13[[#This Row],[LV]]</f>
        <v>#REF!</v>
      </c>
      <c r="Z7" s="44" t="e">
        <f>Table1321344[[#This Row],[MT]]-Table13[[#This Row],[MT]]</f>
        <v>#REF!</v>
      </c>
      <c r="AA7" s="44" t="e">
        <f>Table1321344[[#This Row],[NL]]-Table13[[#This Row],[NL]]</f>
        <v>#REF!</v>
      </c>
      <c r="AB7" s="44" t="e">
        <f>Table1321344[[#This Row],[NO]]-Table13[[#This Row],[NO]]</f>
        <v>#REF!</v>
      </c>
      <c r="AC7" s="44" t="e">
        <f>Table1321344[[#This Row],[PL]]-Table13[[#This Row],[PL]]</f>
        <v>#REF!</v>
      </c>
      <c r="AD7" s="44" t="e">
        <f>Table1321344[[#This Row],[PT]]-Table13[[#This Row],[PT]]</f>
        <v>#REF!</v>
      </c>
      <c r="AE7" s="44" t="e">
        <f>Table1321344[[#This Row],[RO]]-Table13[[#This Row],[RO]]</f>
        <v>#REF!</v>
      </c>
      <c r="AF7" s="44" t="e">
        <f>Table1321344[[#This Row],[SE]]-Table13[[#This Row],[SE]]</f>
        <v>#REF!</v>
      </c>
      <c r="AG7" s="44" t="e">
        <f>Table1321344[[#This Row],[SI]]-Table13[[#This Row],[SI]]</f>
        <v>#REF!</v>
      </c>
      <c r="AH7" s="44" t="e">
        <f>Table1321344[[#This Row],[SK]]-Table13[[#This Row],[SK]]</f>
        <v>#REF!</v>
      </c>
      <c r="AI7" s="44" t="e">
        <f>Table1321344[[#This Row],[GB-NIR]]-Table13[[#This Row],[GBNIR]]</f>
        <v>#REF!</v>
      </c>
      <c r="AJ7" s="44"/>
      <c r="AK7" s="44" t="e">
        <f t="shared" si="0"/>
        <v>#REF!</v>
      </c>
    </row>
    <row r="8" spans="1:37" ht="15.75" thickBot="1">
      <c r="C8" s="170"/>
      <c r="D8" s="2" t="s">
        <v>171</v>
      </c>
      <c r="E8" s="23" t="s">
        <v>170</v>
      </c>
      <c r="F8" s="44" t="e">
        <f>Table1321344[[#This Row],[AT]]-A_BackendPGCompil_March2025!E8</f>
        <v>#REF!</v>
      </c>
      <c r="G8" s="44" t="e">
        <f>Table1321344[[#This Row],[BE]]-Table13[[#This Row],[BE]]</f>
        <v>#REF!</v>
      </c>
      <c r="H8" s="44" t="e">
        <f>Table1321344[[#This Row],[BG]]-Table13[[#This Row],[BG]]</f>
        <v>#REF!</v>
      </c>
      <c r="I8" s="44" t="e">
        <f>Table1321344[[#This Row],[CY]]-Table13[[#This Row],[CY]]</f>
        <v>#REF!</v>
      </c>
      <c r="J8" s="44" t="e">
        <f>Table1321344[[#This Row],[CZ]]-Table13[[#This Row],[CZ]]</f>
        <v>#REF!</v>
      </c>
      <c r="K8" s="44" t="e">
        <f>Table1321344[[#This Row],[DE]]-Table13[[#This Row],[DE]]</f>
        <v>#REF!</v>
      </c>
      <c r="L8" s="44" t="e">
        <f>Table1321344[[#This Row],[DK]]-Table13[[#This Row],[DK]]</f>
        <v>#REF!</v>
      </c>
      <c r="M8" s="44" t="e">
        <f>Table1321344[[#This Row],[EE]]-Table13[[#This Row],[EE]]</f>
        <v>#REF!</v>
      </c>
      <c r="N8" s="44" t="e">
        <f>Table1321344[[#This Row],[EL]]-Table13[[#This Row],[EL]]</f>
        <v>#REF!</v>
      </c>
      <c r="O8" s="44">
        <f>Table1321344[[#This Row],[ES]]-Table13[[#This Row],[ES]]</f>
        <v>0</v>
      </c>
      <c r="P8" s="44" t="e">
        <f>Table1321344[[#This Row],[FI]]-Table13[[#This Row],[FI]]</f>
        <v>#REF!</v>
      </c>
      <c r="Q8" s="44" t="e">
        <f>Table1321344[[#This Row],[FR]]-Table13[[#This Row],[FR]]</f>
        <v>#REF!</v>
      </c>
      <c r="R8" s="44" t="e">
        <f>Table1321344[[#This Row],[HR ]]-Table13[[#This Row],[HR ]]</f>
        <v>#REF!</v>
      </c>
      <c r="S8" s="44" t="e">
        <f>Table1321344[[#This Row],[HU]]-Table13[[#This Row],[HU]]</f>
        <v>#REF!</v>
      </c>
      <c r="T8" s="44" t="e">
        <f>Table1321344[[#This Row],[IE]]-Table13[[#This Row],[IE]]</f>
        <v>#REF!</v>
      </c>
      <c r="U8" s="44" t="e">
        <f>Table1321344[[#This Row],[IS]]-Table13[[#This Row],[IS]]</f>
        <v>#REF!</v>
      </c>
      <c r="V8" s="44" t="e">
        <f>Table1321344[[#This Row],[IT]]-Table13[[#This Row],[IT]]</f>
        <v>#REF!</v>
      </c>
      <c r="W8" s="44" t="e">
        <f>Table1321344[[#This Row],[LT]]-Table13[[#This Row],[LT]]</f>
        <v>#REF!</v>
      </c>
      <c r="X8" s="44" t="e">
        <f>Table1321344[[#This Row],[LU]]-Table13[[#This Row],[LU]]</f>
        <v>#REF!</v>
      </c>
      <c r="Y8" s="44" t="e">
        <f>Table1321344[[#This Row],[LV]]-Table13[[#This Row],[LV]]</f>
        <v>#REF!</v>
      </c>
      <c r="Z8" s="44" t="e">
        <f>Table1321344[[#This Row],[MT]]-Table13[[#This Row],[MT]]</f>
        <v>#REF!</v>
      </c>
      <c r="AA8" s="44" t="e">
        <f>Table1321344[[#This Row],[NL]]-Table13[[#This Row],[NL]]</f>
        <v>#REF!</v>
      </c>
      <c r="AB8" s="44" t="e">
        <f>Table1321344[[#This Row],[NO]]-Table13[[#This Row],[NO]]</f>
        <v>#REF!</v>
      </c>
      <c r="AC8" s="44" t="e">
        <f>Table1321344[[#This Row],[PL]]-Table13[[#This Row],[PL]]</f>
        <v>#REF!</v>
      </c>
      <c r="AD8" s="44" t="e">
        <f>Table1321344[[#This Row],[PT]]-Table13[[#This Row],[PT]]</f>
        <v>#REF!</v>
      </c>
      <c r="AE8" s="44" t="e">
        <f>Table1321344[[#This Row],[RO]]-Table13[[#This Row],[RO]]</f>
        <v>#REF!</v>
      </c>
      <c r="AF8" s="44" t="e">
        <f>Table1321344[[#This Row],[SE]]-Table13[[#This Row],[SE]]</f>
        <v>#REF!</v>
      </c>
      <c r="AG8" s="44" t="e">
        <f>Table1321344[[#This Row],[SI]]-Table13[[#This Row],[SI]]</f>
        <v>#REF!</v>
      </c>
      <c r="AH8" s="44" t="e">
        <f>Table1321344[[#This Row],[SK]]-Table13[[#This Row],[SK]]</f>
        <v>#REF!</v>
      </c>
      <c r="AI8" s="44" t="e">
        <f>Table1321344[[#This Row],[GB-NIR]]-Table13[[#This Row],[GBNIR]]</f>
        <v>#REF!</v>
      </c>
      <c r="AJ8" s="44">
        <f>Table1321344[[#This Row],[-]]-Table13[[#This Row],[-]]</f>
        <v>0</v>
      </c>
      <c r="AK8" s="44" t="e">
        <f t="shared" si="0"/>
        <v>#REF!</v>
      </c>
    </row>
    <row r="9" spans="1:37" ht="15.75" thickTop="1">
      <c r="C9" s="168" t="s">
        <v>3</v>
      </c>
      <c r="D9" s="2" t="s">
        <v>119</v>
      </c>
      <c r="E9" s="23" t="s">
        <v>94</v>
      </c>
      <c r="F9" s="44" t="e">
        <f>Table1321344[[#This Row],[AT]]-A_BackendPGCompil_March2025!E9</f>
        <v>#REF!</v>
      </c>
      <c r="G9" s="44" t="e">
        <f>Table1321344[[#This Row],[BE]]-Table13[[#This Row],[BE]]</f>
        <v>#REF!</v>
      </c>
      <c r="H9" s="44" t="e">
        <f>Table1321344[[#This Row],[BG]]-Table13[[#This Row],[BG]]</f>
        <v>#REF!</v>
      </c>
      <c r="I9" s="44" t="e">
        <f>Table1321344[[#This Row],[CY]]-Table13[[#This Row],[CY]]</f>
        <v>#REF!</v>
      </c>
      <c r="J9" s="44" t="e">
        <f>Table1321344[[#This Row],[CZ]]-Table13[[#This Row],[CZ]]</f>
        <v>#REF!</v>
      </c>
      <c r="K9" s="44" t="e">
        <f>Table1321344[[#This Row],[DE]]-Table13[[#This Row],[DE]]</f>
        <v>#REF!</v>
      </c>
      <c r="L9" s="44" t="e">
        <f>Table1321344[[#This Row],[DK]]-Table13[[#This Row],[DK]]</f>
        <v>#REF!</v>
      </c>
      <c r="M9" s="44" t="e">
        <f>Table1321344[[#This Row],[EE]]-Table13[[#This Row],[EE]]</f>
        <v>#REF!</v>
      </c>
      <c r="N9" s="44" t="e">
        <f>Table1321344[[#This Row],[EL]]-Table13[[#This Row],[EL]]</f>
        <v>#REF!</v>
      </c>
      <c r="O9" s="44">
        <f>Table1321344[[#This Row],[ES]]-Table13[[#This Row],[ES]]</f>
        <v>56</v>
      </c>
      <c r="P9" s="44" t="e">
        <f>Table1321344[[#This Row],[FI]]-Table13[[#This Row],[FI]]</f>
        <v>#REF!</v>
      </c>
      <c r="Q9" s="44" t="e">
        <f>Table1321344[[#This Row],[FR]]-Table13[[#This Row],[FR]]</f>
        <v>#REF!</v>
      </c>
      <c r="R9" s="44" t="e">
        <f>Table1321344[[#This Row],[HR ]]-Table13[[#This Row],[HR ]]</f>
        <v>#REF!</v>
      </c>
      <c r="S9" s="44" t="e">
        <f>Table1321344[[#This Row],[HU]]-Table13[[#This Row],[HU]]</f>
        <v>#REF!</v>
      </c>
      <c r="T9" s="44" t="e">
        <f>Table1321344[[#This Row],[IE]]-Table13[[#This Row],[IE]]</f>
        <v>#REF!</v>
      </c>
      <c r="U9" s="44" t="e">
        <f>Table1321344[[#This Row],[IS]]-Table13[[#This Row],[IS]]</f>
        <v>#REF!</v>
      </c>
      <c r="V9" s="44" t="e">
        <f>Table1321344[[#This Row],[IT]]-Table13[[#This Row],[IT]]</f>
        <v>#REF!</v>
      </c>
      <c r="W9" s="44" t="e">
        <f>Table1321344[[#This Row],[LT]]-Table13[[#This Row],[LT]]</f>
        <v>#REF!</v>
      </c>
      <c r="X9" s="44" t="e">
        <f>Table1321344[[#This Row],[LU]]-Table13[[#This Row],[LU]]</f>
        <v>#REF!</v>
      </c>
      <c r="Y9" s="44" t="e">
        <f>Table1321344[[#This Row],[LV]]-Table13[[#This Row],[LV]]</f>
        <v>#REF!</v>
      </c>
      <c r="Z9" s="44" t="e">
        <f>Table1321344[[#This Row],[MT]]-Table13[[#This Row],[MT]]</f>
        <v>#REF!</v>
      </c>
      <c r="AA9" s="44" t="e">
        <f>Table1321344[[#This Row],[NL]]-Table13[[#This Row],[NL]]</f>
        <v>#REF!</v>
      </c>
      <c r="AB9" s="44" t="e">
        <f>Table1321344[[#This Row],[NO]]-Table13[[#This Row],[NO]]</f>
        <v>#REF!</v>
      </c>
      <c r="AC9" s="44" t="e">
        <f>Table1321344[[#This Row],[PL]]-Table13[[#This Row],[PL]]</f>
        <v>#REF!</v>
      </c>
      <c r="AD9" s="44" t="e">
        <f>Table1321344[[#This Row],[PT]]-Table13[[#This Row],[PT]]</f>
        <v>#REF!</v>
      </c>
      <c r="AE9" s="44" t="e">
        <f>Table1321344[[#This Row],[RO]]-Table13[[#This Row],[RO]]</f>
        <v>#REF!</v>
      </c>
      <c r="AF9" s="44" t="e">
        <f>Table1321344[[#This Row],[SE]]-Table13[[#This Row],[SE]]</f>
        <v>#REF!</v>
      </c>
      <c r="AG9" s="44" t="e">
        <f>Table1321344[[#This Row],[SI]]-Table13[[#This Row],[SI]]</f>
        <v>#REF!</v>
      </c>
      <c r="AH9" s="44" t="e">
        <f>Table1321344[[#This Row],[SK]]-Table13[[#This Row],[SK]]</f>
        <v>#REF!</v>
      </c>
      <c r="AI9" s="44" t="e">
        <f>Table1321344[[#This Row],[GB-NIR]]-Table13[[#This Row],[GBNIR]]</f>
        <v>#REF!</v>
      </c>
      <c r="AJ9" s="44">
        <f>Table1321344[[#This Row],[-]]-Table13[[#This Row],[-]]</f>
        <v>0</v>
      </c>
      <c r="AK9" s="44" t="e">
        <f t="shared" si="0"/>
        <v>#REF!</v>
      </c>
    </row>
    <row r="10" spans="1:37">
      <c r="C10" s="169"/>
      <c r="D10" s="2" t="s">
        <v>125</v>
      </c>
      <c r="E10" s="23" t="s">
        <v>95</v>
      </c>
      <c r="F10" s="44" t="e">
        <f>Table1321344[[#This Row],[AT]]-A_BackendPGCompil_March2025!E10</f>
        <v>#REF!</v>
      </c>
      <c r="G10" s="44" t="e">
        <f>Table1321344[[#This Row],[BE]]-Table13[[#This Row],[BE]]</f>
        <v>#REF!</v>
      </c>
      <c r="H10" s="44" t="e">
        <f>Table1321344[[#This Row],[BG]]-Table13[[#This Row],[BG]]</f>
        <v>#REF!</v>
      </c>
      <c r="I10" s="44" t="e">
        <f>Table1321344[[#This Row],[CY]]-Table13[[#This Row],[CY]]</f>
        <v>#REF!</v>
      </c>
      <c r="J10" s="44" t="e">
        <f>Table1321344[[#This Row],[CZ]]-Table13[[#This Row],[CZ]]</f>
        <v>#REF!</v>
      </c>
      <c r="K10" s="44" t="e">
        <f>Table1321344[[#This Row],[DE]]-Table13[[#This Row],[DE]]</f>
        <v>#REF!</v>
      </c>
      <c r="L10" s="44" t="e">
        <f>Table1321344[[#This Row],[DK]]-Table13[[#This Row],[DK]]</f>
        <v>#REF!</v>
      </c>
      <c r="M10" s="44" t="e">
        <f>Table1321344[[#This Row],[EE]]-Table13[[#This Row],[EE]]</f>
        <v>#REF!</v>
      </c>
      <c r="N10" s="44" t="e">
        <f>Table1321344[[#This Row],[EL]]-Table13[[#This Row],[EL]]</f>
        <v>#REF!</v>
      </c>
      <c r="O10" s="44">
        <f>Table1321344[[#This Row],[ES]]-Table13[[#This Row],[ES]]</f>
        <v>10</v>
      </c>
      <c r="P10" s="44" t="e">
        <f>Table1321344[[#This Row],[FI]]-Table13[[#This Row],[FI]]</f>
        <v>#REF!</v>
      </c>
      <c r="Q10" s="44" t="e">
        <f>Table1321344[[#This Row],[FR]]-Table13[[#This Row],[FR]]</f>
        <v>#REF!</v>
      </c>
      <c r="R10" s="44" t="e">
        <f>Table1321344[[#This Row],[HR ]]-Table13[[#This Row],[HR ]]</f>
        <v>#REF!</v>
      </c>
      <c r="S10" s="44" t="e">
        <f>Table1321344[[#This Row],[HU]]-Table13[[#This Row],[HU]]</f>
        <v>#REF!</v>
      </c>
      <c r="T10" s="44" t="e">
        <f>Table1321344[[#This Row],[IE]]-Table13[[#This Row],[IE]]</f>
        <v>#REF!</v>
      </c>
      <c r="U10" s="44" t="e">
        <f>Table1321344[[#This Row],[IS]]-Table13[[#This Row],[IS]]</f>
        <v>#REF!</v>
      </c>
      <c r="V10" s="44" t="e">
        <f>Table1321344[[#This Row],[IT]]-Table13[[#This Row],[IT]]</f>
        <v>#REF!</v>
      </c>
      <c r="W10" s="44" t="e">
        <f>Table1321344[[#This Row],[LT]]-Table13[[#This Row],[LT]]</f>
        <v>#REF!</v>
      </c>
      <c r="X10" s="44" t="e">
        <f>Table1321344[[#This Row],[LU]]-Table13[[#This Row],[LU]]</f>
        <v>#REF!</v>
      </c>
      <c r="Y10" s="44" t="e">
        <f>Table1321344[[#This Row],[LV]]-Table13[[#This Row],[LV]]</f>
        <v>#REF!</v>
      </c>
      <c r="Z10" s="44" t="e">
        <f>Table1321344[[#This Row],[MT]]-Table13[[#This Row],[MT]]</f>
        <v>#REF!</v>
      </c>
      <c r="AA10" s="44" t="e">
        <f>Table1321344[[#This Row],[NL]]-Table13[[#This Row],[NL]]</f>
        <v>#REF!</v>
      </c>
      <c r="AB10" s="44" t="e">
        <f>Table1321344[[#This Row],[NO]]-Table13[[#This Row],[NO]]</f>
        <v>#REF!</v>
      </c>
      <c r="AC10" s="44" t="e">
        <f>Table1321344[[#This Row],[PL]]-Table13[[#This Row],[PL]]</f>
        <v>#REF!</v>
      </c>
      <c r="AD10" s="44" t="e">
        <f>Table1321344[[#This Row],[PT]]-Table13[[#This Row],[PT]]</f>
        <v>#REF!</v>
      </c>
      <c r="AE10" s="44" t="e">
        <f>Table1321344[[#This Row],[RO]]-Table13[[#This Row],[RO]]</f>
        <v>#REF!</v>
      </c>
      <c r="AF10" s="44" t="e">
        <f>Table1321344[[#This Row],[SE]]-Table13[[#This Row],[SE]]</f>
        <v>#REF!</v>
      </c>
      <c r="AG10" s="44" t="e">
        <f>Table1321344[[#This Row],[SI]]-Table13[[#This Row],[SI]]</f>
        <v>#REF!</v>
      </c>
      <c r="AH10" s="44" t="e">
        <f>Table1321344[[#This Row],[SK]]-Table13[[#This Row],[SK]]</f>
        <v>#REF!</v>
      </c>
      <c r="AI10" s="44" t="e">
        <f>Table1321344[[#This Row],[GB-NIR]]-Table13[[#This Row],[GBNIR]]</f>
        <v>#REF!</v>
      </c>
      <c r="AJ10" s="44">
        <f>Table1321344[[#This Row],[-]]-Table13[[#This Row],[-]]</f>
        <v>0</v>
      </c>
      <c r="AK10" s="44" t="e">
        <f t="shared" si="0"/>
        <v>#REF!</v>
      </c>
    </row>
    <row r="11" spans="1:37">
      <c r="C11" s="169"/>
      <c r="D11" s="2" t="s">
        <v>126</v>
      </c>
      <c r="E11" s="23" t="s">
        <v>96</v>
      </c>
      <c r="F11" s="44" t="e">
        <f>Table1321344[[#This Row],[AT]]-A_BackendPGCompil_March2025!E11</f>
        <v>#REF!</v>
      </c>
      <c r="G11" s="44" t="e">
        <f>Table1321344[[#This Row],[BE]]-Table13[[#This Row],[BE]]</f>
        <v>#REF!</v>
      </c>
      <c r="H11" s="44" t="e">
        <f>Table1321344[[#This Row],[BG]]-Table13[[#This Row],[BG]]</f>
        <v>#REF!</v>
      </c>
      <c r="I11" s="44" t="e">
        <f>Table1321344[[#This Row],[CY]]-Table13[[#This Row],[CY]]</f>
        <v>#REF!</v>
      </c>
      <c r="J11" s="44" t="e">
        <f>Table1321344[[#This Row],[CZ]]-Table13[[#This Row],[CZ]]</f>
        <v>#REF!</v>
      </c>
      <c r="K11" s="44" t="e">
        <f>Table1321344[[#This Row],[DE]]-Table13[[#This Row],[DE]]</f>
        <v>#REF!</v>
      </c>
      <c r="L11" s="44" t="e">
        <f>Table1321344[[#This Row],[DK]]-Table13[[#This Row],[DK]]</f>
        <v>#REF!</v>
      </c>
      <c r="M11" s="44" t="e">
        <f>Table1321344[[#This Row],[EE]]-Table13[[#This Row],[EE]]</f>
        <v>#REF!</v>
      </c>
      <c r="N11" s="44" t="e">
        <f>Table1321344[[#This Row],[EL]]-Table13[[#This Row],[EL]]</f>
        <v>#REF!</v>
      </c>
      <c r="O11" s="44">
        <f>Table1321344[[#This Row],[ES]]-Table13[[#This Row],[ES]]</f>
        <v>16</v>
      </c>
      <c r="P11" s="44" t="e">
        <f>Table1321344[[#This Row],[FI]]-Table13[[#This Row],[FI]]</f>
        <v>#REF!</v>
      </c>
      <c r="Q11" s="44" t="e">
        <f>Table1321344[[#This Row],[FR]]-Table13[[#This Row],[FR]]</f>
        <v>#REF!</v>
      </c>
      <c r="R11" s="44" t="e">
        <f>Table1321344[[#This Row],[HR ]]-Table13[[#This Row],[HR ]]</f>
        <v>#REF!</v>
      </c>
      <c r="S11" s="44" t="e">
        <f>Table1321344[[#This Row],[HU]]-Table13[[#This Row],[HU]]</f>
        <v>#REF!</v>
      </c>
      <c r="T11" s="44" t="e">
        <f>Table1321344[[#This Row],[IE]]-Table13[[#This Row],[IE]]</f>
        <v>#REF!</v>
      </c>
      <c r="U11" s="44" t="e">
        <f>Table1321344[[#This Row],[IS]]-Table13[[#This Row],[IS]]</f>
        <v>#REF!</v>
      </c>
      <c r="V11" s="44" t="e">
        <f>Table1321344[[#This Row],[IT]]-Table13[[#This Row],[IT]]</f>
        <v>#REF!</v>
      </c>
      <c r="W11" s="44" t="e">
        <f>Table1321344[[#This Row],[LT]]-Table13[[#This Row],[LT]]</f>
        <v>#REF!</v>
      </c>
      <c r="X11" s="44" t="e">
        <f>Table1321344[[#This Row],[LU]]-Table13[[#This Row],[LU]]</f>
        <v>#REF!</v>
      </c>
      <c r="Y11" s="44" t="e">
        <f>Table1321344[[#This Row],[LV]]-Table13[[#This Row],[LV]]</f>
        <v>#REF!</v>
      </c>
      <c r="Z11" s="44" t="e">
        <f>Table1321344[[#This Row],[MT]]-Table13[[#This Row],[MT]]</f>
        <v>#REF!</v>
      </c>
      <c r="AA11" s="44" t="e">
        <f>Table1321344[[#This Row],[NL]]-Table13[[#This Row],[NL]]</f>
        <v>#REF!</v>
      </c>
      <c r="AB11" s="44" t="e">
        <f>Table1321344[[#This Row],[NO]]-Table13[[#This Row],[NO]]</f>
        <v>#REF!</v>
      </c>
      <c r="AC11" s="44" t="e">
        <f>Table1321344[[#This Row],[PL]]-Table13[[#This Row],[PL]]</f>
        <v>#REF!</v>
      </c>
      <c r="AD11" s="44" t="e">
        <f>Table1321344[[#This Row],[PT]]-Table13[[#This Row],[PT]]</f>
        <v>#REF!</v>
      </c>
      <c r="AE11" s="44" t="e">
        <f>Table1321344[[#This Row],[RO]]-Table13[[#This Row],[RO]]</f>
        <v>#REF!</v>
      </c>
      <c r="AF11" s="44" t="e">
        <f>Table1321344[[#This Row],[SE]]-Table13[[#This Row],[SE]]</f>
        <v>#REF!</v>
      </c>
      <c r="AG11" s="44" t="e">
        <f>Table1321344[[#This Row],[SI]]-Table13[[#This Row],[SI]]</f>
        <v>#REF!</v>
      </c>
      <c r="AH11" s="44" t="e">
        <f>Table1321344[[#This Row],[SK]]-Table13[[#This Row],[SK]]</f>
        <v>#REF!</v>
      </c>
      <c r="AI11" s="44" t="e">
        <f>Table1321344[[#This Row],[GB-NIR]]-Table13[[#This Row],[GBNIR]]</f>
        <v>#REF!</v>
      </c>
      <c r="AJ11" s="44">
        <f>Table1321344[[#This Row],[-]]-Table13[[#This Row],[-]]</f>
        <v>0</v>
      </c>
      <c r="AK11" s="44" t="e">
        <f t="shared" si="0"/>
        <v>#REF!</v>
      </c>
    </row>
    <row r="12" spans="1:37">
      <c r="C12" s="169"/>
      <c r="D12" s="2" t="s">
        <v>6</v>
      </c>
      <c r="E12" s="23" t="s">
        <v>97</v>
      </c>
      <c r="F12" s="44" t="e">
        <f>Table1321344[[#This Row],[AT]]-A_BackendPGCompil_March2025!E12</f>
        <v>#REF!</v>
      </c>
      <c r="G12" s="44" t="e">
        <f>Table1321344[[#This Row],[BE]]-Table13[[#This Row],[BE]]</f>
        <v>#REF!</v>
      </c>
      <c r="H12" s="44" t="e">
        <f>Table1321344[[#This Row],[BG]]-Table13[[#This Row],[BG]]</f>
        <v>#REF!</v>
      </c>
      <c r="I12" s="44" t="e">
        <f>Table1321344[[#This Row],[CY]]-Table13[[#This Row],[CY]]</f>
        <v>#REF!</v>
      </c>
      <c r="J12" s="44" t="e">
        <f>Table1321344[[#This Row],[CZ]]-Table13[[#This Row],[CZ]]</f>
        <v>#REF!</v>
      </c>
      <c r="K12" s="44" t="e">
        <f>Table1321344[[#This Row],[DE]]-Table13[[#This Row],[DE]]</f>
        <v>#REF!</v>
      </c>
      <c r="L12" s="44" t="e">
        <f>Table1321344[[#This Row],[DK]]-Table13[[#This Row],[DK]]</f>
        <v>#REF!</v>
      </c>
      <c r="M12" s="44" t="e">
        <f>Table1321344[[#This Row],[EE]]-Table13[[#This Row],[EE]]</f>
        <v>#REF!</v>
      </c>
      <c r="N12" s="44" t="e">
        <f>Table1321344[[#This Row],[EL]]-Table13[[#This Row],[EL]]</f>
        <v>#REF!</v>
      </c>
      <c r="O12" s="44">
        <f>Table1321344[[#This Row],[ES]]-Table13[[#This Row],[ES]]</f>
        <v>34</v>
      </c>
      <c r="P12" s="44" t="e">
        <f>Table1321344[[#This Row],[FI]]-Table13[[#This Row],[FI]]</f>
        <v>#REF!</v>
      </c>
      <c r="Q12" s="44" t="e">
        <f>Table1321344[[#This Row],[FR]]-Table13[[#This Row],[FR]]</f>
        <v>#REF!</v>
      </c>
      <c r="R12" s="44" t="e">
        <f>Table1321344[[#This Row],[HR ]]-Table13[[#This Row],[HR ]]</f>
        <v>#REF!</v>
      </c>
      <c r="S12" s="44" t="e">
        <f>Table1321344[[#This Row],[HU]]-Table13[[#This Row],[HU]]</f>
        <v>#REF!</v>
      </c>
      <c r="T12" s="44" t="e">
        <f>Table1321344[[#This Row],[IE]]-Table13[[#This Row],[IE]]</f>
        <v>#REF!</v>
      </c>
      <c r="U12" s="44" t="e">
        <f>Table1321344[[#This Row],[IS]]-Table13[[#This Row],[IS]]</f>
        <v>#REF!</v>
      </c>
      <c r="V12" s="44" t="e">
        <f>Table1321344[[#This Row],[IT]]-Table13[[#This Row],[IT]]</f>
        <v>#REF!</v>
      </c>
      <c r="W12" s="44" t="e">
        <f>Table1321344[[#This Row],[LT]]-Table13[[#This Row],[LT]]</f>
        <v>#REF!</v>
      </c>
      <c r="X12" s="44" t="e">
        <f>Table1321344[[#This Row],[LU]]-Table13[[#This Row],[LU]]</f>
        <v>#REF!</v>
      </c>
      <c r="Y12" s="44" t="e">
        <f>Table1321344[[#This Row],[LV]]-Table13[[#This Row],[LV]]</f>
        <v>#REF!</v>
      </c>
      <c r="Z12" s="44" t="e">
        <f>Table1321344[[#This Row],[MT]]-Table13[[#This Row],[MT]]</f>
        <v>#REF!</v>
      </c>
      <c r="AA12" s="44" t="e">
        <f>Table1321344[[#This Row],[NL]]-Table13[[#This Row],[NL]]</f>
        <v>#REF!</v>
      </c>
      <c r="AB12" s="44" t="e">
        <f>Table1321344[[#This Row],[NO]]-Table13[[#This Row],[NO]]</f>
        <v>#REF!</v>
      </c>
      <c r="AC12" s="44" t="e">
        <f>Table1321344[[#This Row],[PL]]-Table13[[#This Row],[PL]]</f>
        <v>#REF!</v>
      </c>
      <c r="AD12" s="44" t="e">
        <f>Table1321344[[#This Row],[PT]]-Table13[[#This Row],[PT]]</f>
        <v>#REF!</v>
      </c>
      <c r="AE12" s="44" t="e">
        <f>Table1321344[[#This Row],[RO]]-Table13[[#This Row],[RO]]</f>
        <v>#REF!</v>
      </c>
      <c r="AF12" s="44" t="e">
        <f>Table1321344[[#This Row],[SE]]-Table13[[#This Row],[SE]]</f>
        <v>#REF!</v>
      </c>
      <c r="AG12" s="44" t="e">
        <f>Table1321344[[#This Row],[SI]]-Table13[[#This Row],[SI]]</f>
        <v>#REF!</v>
      </c>
      <c r="AH12" s="44" t="e">
        <f>Table1321344[[#This Row],[SK]]-Table13[[#This Row],[SK]]</f>
        <v>#REF!</v>
      </c>
      <c r="AI12" s="44" t="e">
        <f>Table1321344[[#This Row],[GB-NIR]]-Table13[[#This Row],[GBNIR]]</f>
        <v>#REF!</v>
      </c>
      <c r="AJ12" s="44">
        <f>Table1321344[[#This Row],[-]]-Table13[[#This Row],[-]]</f>
        <v>0</v>
      </c>
      <c r="AK12" s="44" t="e">
        <f t="shared" si="0"/>
        <v>#REF!</v>
      </c>
    </row>
    <row r="13" spans="1:37">
      <c r="C13" s="169"/>
      <c r="D13" s="2" t="s">
        <v>7</v>
      </c>
      <c r="E13" s="23" t="s">
        <v>98</v>
      </c>
      <c r="F13" s="44" t="e">
        <f>Table1321344[[#This Row],[AT]]-A_BackendPGCompil_March2025!E13</f>
        <v>#REF!</v>
      </c>
      <c r="G13" s="44" t="e">
        <f>Table1321344[[#This Row],[BE]]-Table13[[#This Row],[BE]]</f>
        <v>#REF!</v>
      </c>
      <c r="H13" s="44" t="e">
        <f>Table1321344[[#This Row],[BG]]-Table13[[#This Row],[BG]]</f>
        <v>#REF!</v>
      </c>
      <c r="I13" s="44" t="e">
        <f>Table1321344[[#This Row],[CY]]-Table13[[#This Row],[CY]]</f>
        <v>#REF!</v>
      </c>
      <c r="J13" s="44" t="e">
        <f>Table1321344[[#This Row],[CZ]]-Table13[[#This Row],[CZ]]</f>
        <v>#REF!</v>
      </c>
      <c r="K13" s="44" t="e">
        <f>Table1321344[[#This Row],[DE]]-Table13[[#This Row],[DE]]</f>
        <v>#REF!</v>
      </c>
      <c r="L13" s="44" t="e">
        <f>Table1321344[[#This Row],[DK]]-Table13[[#This Row],[DK]]</f>
        <v>#REF!</v>
      </c>
      <c r="M13" s="44" t="e">
        <f>Table1321344[[#This Row],[EE]]-Table13[[#This Row],[EE]]</f>
        <v>#REF!</v>
      </c>
      <c r="N13" s="44" t="e">
        <f>Table1321344[[#This Row],[EL]]-Table13[[#This Row],[EL]]</f>
        <v>#REF!</v>
      </c>
      <c r="O13" s="44">
        <f>Table1321344[[#This Row],[ES]]-Table13[[#This Row],[ES]]</f>
        <v>17</v>
      </c>
      <c r="P13" s="44" t="e">
        <f>Table1321344[[#This Row],[FI]]-Table13[[#This Row],[FI]]</f>
        <v>#REF!</v>
      </c>
      <c r="Q13" s="44" t="e">
        <f>Table1321344[[#This Row],[FR]]-Table13[[#This Row],[FR]]</f>
        <v>#REF!</v>
      </c>
      <c r="R13" s="44" t="e">
        <f>Table1321344[[#This Row],[HR ]]-Table13[[#This Row],[HR ]]</f>
        <v>#REF!</v>
      </c>
      <c r="S13" s="44" t="e">
        <f>Table1321344[[#This Row],[HU]]-Table13[[#This Row],[HU]]</f>
        <v>#REF!</v>
      </c>
      <c r="T13" s="44" t="e">
        <f>Table1321344[[#This Row],[IE]]-Table13[[#This Row],[IE]]</f>
        <v>#REF!</v>
      </c>
      <c r="U13" s="44" t="e">
        <f>Table1321344[[#This Row],[IS]]-Table13[[#This Row],[IS]]</f>
        <v>#REF!</v>
      </c>
      <c r="V13" s="44" t="e">
        <f>Table1321344[[#This Row],[IT]]-Table13[[#This Row],[IT]]</f>
        <v>#REF!</v>
      </c>
      <c r="W13" s="44" t="e">
        <f>Table1321344[[#This Row],[LT]]-Table13[[#This Row],[LT]]</f>
        <v>#REF!</v>
      </c>
      <c r="X13" s="44" t="e">
        <f>Table1321344[[#This Row],[LU]]-Table13[[#This Row],[LU]]</f>
        <v>#REF!</v>
      </c>
      <c r="Y13" s="44" t="e">
        <f>Table1321344[[#This Row],[LV]]-Table13[[#This Row],[LV]]</f>
        <v>#REF!</v>
      </c>
      <c r="Z13" s="44" t="e">
        <f>Table1321344[[#This Row],[MT]]-Table13[[#This Row],[MT]]</f>
        <v>#REF!</v>
      </c>
      <c r="AA13" s="44" t="e">
        <f>Table1321344[[#This Row],[NL]]-Table13[[#This Row],[NL]]</f>
        <v>#REF!</v>
      </c>
      <c r="AB13" s="44" t="e">
        <f>Table1321344[[#This Row],[NO]]-Table13[[#This Row],[NO]]</f>
        <v>#REF!</v>
      </c>
      <c r="AC13" s="44" t="e">
        <f>Table1321344[[#This Row],[PL]]-Table13[[#This Row],[PL]]</f>
        <v>#REF!</v>
      </c>
      <c r="AD13" s="44" t="e">
        <f>Table1321344[[#This Row],[PT]]-Table13[[#This Row],[PT]]</f>
        <v>#REF!</v>
      </c>
      <c r="AE13" s="44" t="e">
        <f>Table1321344[[#This Row],[RO]]-Table13[[#This Row],[RO]]</f>
        <v>#REF!</v>
      </c>
      <c r="AF13" s="44" t="e">
        <f>Table1321344[[#This Row],[SE]]-Table13[[#This Row],[SE]]</f>
        <v>#REF!</v>
      </c>
      <c r="AG13" s="44" t="e">
        <f>Table1321344[[#This Row],[SI]]-Table13[[#This Row],[SI]]</f>
        <v>#REF!</v>
      </c>
      <c r="AH13" s="44" t="e">
        <f>Table1321344[[#This Row],[SK]]-Table13[[#This Row],[SK]]</f>
        <v>#REF!</v>
      </c>
      <c r="AI13" s="44" t="e">
        <f>Table1321344[[#This Row],[GB-NIR]]-Table13[[#This Row],[GBNIR]]</f>
        <v>#REF!</v>
      </c>
      <c r="AJ13" s="44">
        <f>Table1321344[[#This Row],[-]]-Table13[[#This Row],[-]]</f>
        <v>0</v>
      </c>
      <c r="AK13" s="44" t="e">
        <f t="shared" si="0"/>
        <v>#REF!</v>
      </c>
    </row>
    <row r="14" spans="1:37">
      <c r="C14" s="169"/>
      <c r="D14" s="2" t="s">
        <v>8</v>
      </c>
      <c r="E14" s="23" t="s">
        <v>99</v>
      </c>
      <c r="F14" s="44" t="e">
        <f>Table1321344[[#This Row],[AT]]-A_BackendPGCompil_March2025!E14</f>
        <v>#REF!</v>
      </c>
      <c r="G14" s="44" t="e">
        <f>Table1321344[[#This Row],[BE]]-Table13[[#This Row],[BE]]</f>
        <v>#REF!</v>
      </c>
      <c r="H14" s="44" t="e">
        <f>Table1321344[[#This Row],[BG]]-Table13[[#This Row],[BG]]</f>
        <v>#REF!</v>
      </c>
      <c r="I14" s="44" t="e">
        <f>Table1321344[[#This Row],[CY]]-Table13[[#This Row],[CY]]</f>
        <v>#REF!</v>
      </c>
      <c r="J14" s="44" t="e">
        <f>Table1321344[[#This Row],[CZ]]-Table13[[#This Row],[CZ]]</f>
        <v>#REF!</v>
      </c>
      <c r="K14" s="44" t="e">
        <f>Table1321344[[#This Row],[DE]]-Table13[[#This Row],[DE]]</f>
        <v>#REF!</v>
      </c>
      <c r="L14" s="44" t="e">
        <f>Table1321344[[#This Row],[DK]]-Table13[[#This Row],[DK]]</f>
        <v>#REF!</v>
      </c>
      <c r="M14" s="44" t="e">
        <f>Table1321344[[#This Row],[EE]]-Table13[[#This Row],[EE]]</f>
        <v>#REF!</v>
      </c>
      <c r="N14" s="44" t="e">
        <f>Table1321344[[#This Row],[EL]]-Table13[[#This Row],[EL]]</f>
        <v>#REF!</v>
      </c>
      <c r="O14" s="44">
        <f>Table1321344[[#This Row],[ES]]-Table13[[#This Row],[ES]]</f>
        <v>6</v>
      </c>
      <c r="P14" s="44" t="e">
        <f>Table1321344[[#This Row],[FI]]-Table13[[#This Row],[FI]]</f>
        <v>#REF!</v>
      </c>
      <c r="Q14" s="44" t="e">
        <f>Table1321344[[#This Row],[FR]]-Table13[[#This Row],[FR]]</f>
        <v>#REF!</v>
      </c>
      <c r="R14" s="44" t="e">
        <f>Table1321344[[#This Row],[HR ]]-Table13[[#This Row],[HR ]]</f>
        <v>#REF!</v>
      </c>
      <c r="S14" s="44" t="e">
        <f>Table1321344[[#This Row],[HU]]-Table13[[#This Row],[HU]]</f>
        <v>#REF!</v>
      </c>
      <c r="T14" s="44" t="e">
        <f>Table1321344[[#This Row],[IE]]-Table13[[#This Row],[IE]]</f>
        <v>#REF!</v>
      </c>
      <c r="U14" s="44" t="e">
        <f>Table1321344[[#This Row],[IS]]-Table13[[#This Row],[IS]]</f>
        <v>#REF!</v>
      </c>
      <c r="V14" s="44" t="e">
        <f>Table1321344[[#This Row],[IT]]-Table13[[#This Row],[IT]]</f>
        <v>#REF!</v>
      </c>
      <c r="W14" s="44" t="e">
        <f>Table1321344[[#This Row],[LT]]-Table13[[#This Row],[LT]]</f>
        <v>#REF!</v>
      </c>
      <c r="X14" s="44" t="e">
        <f>Table1321344[[#This Row],[LU]]-Table13[[#This Row],[LU]]</f>
        <v>#REF!</v>
      </c>
      <c r="Y14" s="44" t="e">
        <f>Table1321344[[#This Row],[LV]]-Table13[[#This Row],[LV]]</f>
        <v>#REF!</v>
      </c>
      <c r="Z14" s="44" t="e">
        <f>Table1321344[[#This Row],[MT]]-Table13[[#This Row],[MT]]</f>
        <v>#REF!</v>
      </c>
      <c r="AA14" s="44" t="e">
        <f>Table1321344[[#This Row],[NL]]-Table13[[#This Row],[NL]]</f>
        <v>#REF!</v>
      </c>
      <c r="AB14" s="44" t="e">
        <f>Table1321344[[#This Row],[NO]]-Table13[[#This Row],[NO]]</f>
        <v>#REF!</v>
      </c>
      <c r="AC14" s="44" t="e">
        <f>Table1321344[[#This Row],[PL]]-Table13[[#This Row],[PL]]</f>
        <v>#REF!</v>
      </c>
      <c r="AD14" s="44" t="e">
        <f>Table1321344[[#This Row],[PT]]-Table13[[#This Row],[PT]]</f>
        <v>#REF!</v>
      </c>
      <c r="AE14" s="44" t="e">
        <f>Table1321344[[#This Row],[RO]]-Table13[[#This Row],[RO]]</f>
        <v>#REF!</v>
      </c>
      <c r="AF14" s="44" t="e">
        <f>Table1321344[[#This Row],[SE]]-Table13[[#This Row],[SE]]</f>
        <v>#REF!</v>
      </c>
      <c r="AG14" s="44" t="e">
        <f>Table1321344[[#This Row],[SI]]-Table13[[#This Row],[SI]]</f>
        <v>#REF!</v>
      </c>
      <c r="AH14" s="44" t="e">
        <f>Table1321344[[#This Row],[SK]]-Table13[[#This Row],[SK]]</f>
        <v>#REF!</v>
      </c>
      <c r="AI14" s="44" t="e">
        <f>Table1321344[[#This Row],[GB-NIR]]-Table13[[#This Row],[GBNIR]]</f>
        <v>#REF!</v>
      </c>
      <c r="AJ14" s="44">
        <f>Table1321344[[#This Row],[-]]-Table13[[#This Row],[-]]</f>
        <v>0</v>
      </c>
      <c r="AK14" s="44" t="e">
        <f t="shared" si="0"/>
        <v>#REF!</v>
      </c>
    </row>
    <row r="15" spans="1:37" ht="15.75" thickBot="1">
      <c r="C15" s="170"/>
      <c r="D15" s="2" t="s">
        <v>123</v>
      </c>
      <c r="E15" s="27" t="s">
        <v>116</v>
      </c>
      <c r="F15" s="44" t="e">
        <f>Table1321344[[#This Row],[AT]]-A_BackendPGCompil_March2025!E15</f>
        <v>#REF!</v>
      </c>
      <c r="G15" s="44" t="e">
        <f>Table1321344[[#This Row],[BE]]-Table13[[#This Row],[BE]]</f>
        <v>#REF!</v>
      </c>
      <c r="H15" s="44" t="e">
        <f>Table1321344[[#This Row],[BG]]-Table13[[#This Row],[BG]]</f>
        <v>#REF!</v>
      </c>
      <c r="I15" s="44" t="e">
        <f>Table1321344[[#This Row],[CY]]-Table13[[#This Row],[CY]]</f>
        <v>#REF!</v>
      </c>
      <c r="J15" s="44" t="e">
        <f>Table1321344[[#This Row],[CZ]]-Table13[[#This Row],[CZ]]</f>
        <v>#REF!</v>
      </c>
      <c r="K15" s="44" t="e">
        <f>Table1321344[[#This Row],[DE]]-Table13[[#This Row],[DE]]</f>
        <v>#REF!</v>
      </c>
      <c r="L15" s="44" t="e">
        <f>Table1321344[[#This Row],[DK]]-Table13[[#This Row],[DK]]</f>
        <v>#REF!</v>
      </c>
      <c r="M15" s="44" t="e">
        <f>Table1321344[[#This Row],[EE]]-Table13[[#This Row],[EE]]</f>
        <v>#REF!</v>
      </c>
      <c r="N15" s="44" t="e">
        <f>Table1321344[[#This Row],[EL]]-Table13[[#This Row],[EL]]</f>
        <v>#REF!</v>
      </c>
      <c r="O15" s="44">
        <f>Table1321344[[#This Row],[ES]]-Table13[[#This Row],[ES]]</f>
        <v>8</v>
      </c>
      <c r="P15" s="44" t="e">
        <f>Table1321344[[#This Row],[FI]]-Table13[[#This Row],[FI]]</f>
        <v>#REF!</v>
      </c>
      <c r="Q15" s="44" t="e">
        <f>Table1321344[[#This Row],[FR]]-Table13[[#This Row],[FR]]</f>
        <v>#REF!</v>
      </c>
      <c r="R15" s="44" t="e">
        <f>Table1321344[[#This Row],[HR ]]-Table13[[#This Row],[HR ]]</f>
        <v>#REF!</v>
      </c>
      <c r="S15" s="44" t="e">
        <f>Table1321344[[#This Row],[HU]]-Table13[[#This Row],[HU]]</f>
        <v>#REF!</v>
      </c>
      <c r="T15" s="44" t="e">
        <f>Table1321344[[#This Row],[IE]]-Table13[[#This Row],[IE]]</f>
        <v>#REF!</v>
      </c>
      <c r="U15" s="44" t="e">
        <f>Table1321344[[#This Row],[IS]]-Table13[[#This Row],[IS]]</f>
        <v>#REF!</v>
      </c>
      <c r="V15" s="44" t="e">
        <f>Table1321344[[#This Row],[IT]]-Table13[[#This Row],[IT]]</f>
        <v>#REF!</v>
      </c>
      <c r="W15" s="44" t="e">
        <f>Table1321344[[#This Row],[LT]]-Table13[[#This Row],[LT]]</f>
        <v>#REF!</v>
      </c>
      <c r="X15" s="44" t="e">
        <f>Table1321344[[#This Row],[LU]]-Table13[[#This Row],[LU]]</f>
        <v>#REF!</v>
      </c>
      <c r="Y15" s="44" t="e">
        <f>Table1321344[[#This Row],[LV]]-Table13[[#This Row],[LV]]</f>
        <v>#REF!</v>
      </c>
      <c r="Z15" s="44" t="e">
        <f>Table1321344[[#This Row],[MT]]-Table13[[#This Row],[MT]]</f>
        <v>#REF!</v>
      </c>
      <c r="AA15" s="44" t="e">
        <f>Table1321344[[#This Row],[NL]]-Table13[[#This Row],[NL]]</f>
        <v>#REF!</v>
      </c>
      <c r="AB15" s="44" t="e">
        <f>Table1321344[[#This Row],[NO]]-Table13[[#This Row],[NO]]</f>
        <v>#REF!</v>
      </c>
      <c r="AC15" s="44" t="e">
        <f>Table1321344[[#This Row],[PL]]-Table13[[#This Row],[PL]]</f>
        <v>#REF!</v>
      </c>
      <c r="AD15" s="44" t="e">
        <f>Table1321344[[#This Row],[PT]]-Table13[[#This Row],[PT]]</f>
        <v>#REF!</v>
      </c>
      <c r="AE15" s="44" t="e">
        <f>Table1321344[[#This Row],[RO]]-Table13[[#This Row],[RO]]</f>
        <v>#REF!</v>
      </c>
      <c r="AF15" s="44" t="e">
        <f>Table1321344[[#This Row],[SE]]-Table13[[#This Row],[SE]]</f>
        <v>#REF!</v>
      </c>
      <c r="AG15" s="44" t="e">
        <f>Table1321344[[#This Row],[SI]]-Table13[[#This Row],[SI]]</f>
        <v>#REF!</v>
      </c>
      <c r="AH15" s="44" t="e">
        <f>Table1321344[[#This Row],[SK]]-Table13[[#This Row],[SK]]</f>
        <v>#REF!</v>
      </c>
      <c r="AI15" s="44" t="e">
        <f>Table1321344[[#This Row],[GB-NIR]]-Table13[[#This Row],[GBNIR]]</f>
        <v>#REF!</v>
      </c>
      <c r="AJ15" s="44">
        <f>Table1321344[[#This Row],[-]]-Table13[[#This Row],[-]]</f>
        <v>0</v>
      </c>
      <c r="AK15" s="44" t="e">
        <f t="shared" si="0"/>
        <v>#REF!</v>
      </c>
    </row>
    <row r="16" spans="1:37" ht="15.75" thickTop="1">
      <c r="C16" s="165" t="s">
        <v>9</v>
      </c>
      <c r="D16" s="2" t="s">
        <v>10</v>
      </c>
      <c r="E16" s="23" t="s">
        <v>100</v>
      </c>
      <c r="F16" s="44" t="e">
        <f>Table1321344[[#This Row],[AT]]-A_BackendPGCompil_March2025!E16</f>
        <v>#REF!</v>
      </c>
      <c r="G16" s="44" t="e">
        <f>Table1321344[[#This Row],[BE]]-Table13[[#This Row],[BE]]</f>
        <v>#REF!</v>
      </c>
      <c r="H16" s="44" t="e">
        <f>Table1321344[[#This Row],[BG]]-Table13[[#This Row],[BG]]</f>
        <v>#REF!</v>
      </c>
      <c r="I16" s="44" t="e">
        <f>Table1321344[[#This Row],[CY]]-Table13[[#This Row],[CY]]</f>
        <v>#REF!</v>
      </c>
      <c r="J16" s="44" t="e">
        <f>Table1321344[[#This Row],[CZ]]-Table13[[#This Row],[CZ]]</f>
        <v>#REF!</v>
      </c>
      <c r="K16" s="44" t="e">
        <f>Table1321344[[#This Row],[DE]]-Table13[[#This Row],[DE]]</f>
        <v>#REF!</v>
      </c>
      <c r="L16" s="44" t="e">
        <f>Table1321344[[#This Row],[DK]]-Table13[[#This Row],[DK]]</f>
        <v>#REF!</v>
      </c>
      <c r="M16" s="44" t="e">
        <f>Table1321344[[#This Row],[EE]]-Table13[[#This Row],[EE]]</f>
        <v>#REF!</v>
      </c>
      <c r="N16" s="44" t="e">
        <f>Table1321344[[#This Row],[EL]]-Table13[[#This Row],[EL]]</f>
        <v>#REF!</v>
      </c>
      <c r="O16" s="44">
        <f>Table1321344[[#This Row],[ES]]-Table13[[#This Row],[ES]]</f>
        <v>2</v>
      </c>
      <c r="P16" s="44" t="e">
        <f>Table1321344[[#This Row],[FI]]-Table13[[#This Row],[FI]]</f>
        <v>#REF!</v>
      </c>
      <c r="Q16" s="44" t="e">
        <f>Table1321344[[#This Row],[FR]]-Table13[[#This Row],[FR]]</f>
        <v>#REF!</v>
      </c>
      <c r="R16" s="44" t="e">
        <f>Table1321344[[#This Row],[HR ]]-Table13[[#This Row],[HR ]]</f>
        <v>#REF!</v>
      </c>
      <c r="S16" s="44" t="e">
        <f>Table1321344[[#This Row],[HU]]-Table13[[#This Row],[HU]]</f>
        <v>#REF!</v>
      </c>
      <c r="T16" s="44" t="e">
        <f>Table1321344[[#This Row],[IE]]-Table13[[#This Row],[IE]]</f>
        <v>#REF!</v>
      </c>
      <c r="U16" s="44" t="e">
        <f>Table1321344[[#This Row],[IS]]-Table13[[#This Row],[IS]]</f>
        <v>#REF!</v>
      </c>
      <c r="V16" s="44" t="e">
        <f>Table1321344[[#This Row],[IT]]-Table13[[#This Row],[IT]]</f>
        <v>#REF!</v>
      </c>
      <c r="W16" s="44" t="e">
        <f>Table1321344[[#This Row],[LT]]-Table13[[#This Row],[LT]]</f>
        <v>#REF!</v>
      </c>
      <c r="X16" s="44" t="e">
        <f>Table1321344[[#This Row],[LU]]-Table13[[#This Row],[LU]]</f>
        <v>#REF!</v>
      </c>
      <c r="Y16" s="44" t="e">
        <f>Table1321344[[#This Row],[LV]]-Table13[[#This Row],[LV]]</f>
        <v>#REF!</v>
      </c>
      <c r="Z16" s="44" t="e">
        <f>Table1321344[[#This Row],[MT]]-Table13[[#This Row],[MT]]</f>
        <v>#REF!</v>
      </c>
      <c r="AA16" s="44" t="e">
        <f>Table1321344[[#This Row],[NL]]-Table13[[#This Row],[NL]]</f>
        <v>#REF!</v>
      </c>
      <c r="AB16" s="44" t="e">
        <f>Table1321344[[#This Row],[NO]]-Table13[[#This Row],[NO]]</f>
        <v>#REF!</v>
      </c>
      <c r="AC16" s="44" t="e">
        <f>Table1321344[[#This Row],[PL]]-Table13[[#This Row],[PL]]</f>
        <v>#REF!</v>
      </c>
      <c r="AD16" s="44" t="e">
        <f>Table1321344[[#This Row],[PT]]-Table13[[#This Row],[PT]]</f>
        <v>#REF!</v>
      </c>
      <c r="AE16" s="44" t="e">
        <f>Table1321344[[#This Row],[RO]]-Table13[[#This Row],[RO]]</f>
        <v>#REF!</v>
      </c>
      <c r="AF16" s="44" t="e">
        <f>Table1321344[[#This Row],[SE]]-Table13[[#This Row],[SE]]</f>
        <v>#REF!</v>
      </c>
      <c r="AG16" s="44" t="e">
        <f>Table1321344[[#This Row],[SI]]-Table13[[#This Row],[SI]]</f>
        <v>#REF!</v>
      </c>
      <c r="AH16" s="44" t="e">
        <f>Table1321344[[#This Row],[SK]]-Table13[[#This Row],[SK]]</f>
        <v>#REF!</v>
      </c>
      <c r="AI16" s="44" t="e">
        <f>Table1321344[[#This Row],[GB-NIR]]-Table13[[#This Row],[GBNIR]]</f>
        <v>#REF!</v>
      </c>
      <c r="AJ16" s="44">
        <f>Table1321344[[#This Row],[-]]-Table13[[#This Row],[-]]</f>
        <v>0</v>
      </c>
      <c r="AK16" s="44" t="e">
        <f t="shared" si="0"/>
        <v>#REF!</v>
      </c>
    </row>
    <row r="17" spans="3:39" ht="15.75" thickBot="1">
      <c r="C17" s="166"/>
      <c r="D17" s="2" t="s">
        <v>11</v>
      </c>
      <c r="E17" s="23" t="s">
        <v>101</v>
      </c>
      <c r="F17" s="44" t="e">
        <f>Table1321344[[#This Row],[AT]]-A_BackendPGCompil_March2025!E17</f>
        <v>#REF!</v>
      </c>
      <c r="G17" s="44" t="e">
        <f>Table1321344[[#This Row],[BE]]-Table13[[#This Row],[BE]]</f>
        <v>#REF!</v>
      </c>
      <c r="H17" s="44" t="e">
        <f>Table1321344[[#This Row],[BG]]-Table13[[#This Row],[BG]]</f>
        <v>#REF!</v>
      </c>
      <c r="I17" s="44" t="e">
        <f>Table1321344[[#This Row],[CY]]-Table13[[#This Row],[CY]]</f>
        <v>#REF!</v>
      </c>
      <c r="J17" s="44" t="e">
        <f>Table1321344[[#This Row],[CZ]]-Table13[[#This Row],[CZ]]</f>
        <v>#REF!</v>
      </c>
      <c r="K17" s="44" t="e">
        <f>Table1321344[[#This Row],[DE]]-Table13[[#This Row],[DE]]</f>
        <v>#REF!</v>
      </c>
      <c r="L17" s="44" t="e">
        <f>Table1321344[[#This Row],[DK]]-Table13[[#This Row],[DK]]</f>
        <v>#REF!</v>
      </c>
      <c r="M17" s="44" t="e">
        <f>Table1321344[[#This Row],[EE]]-Table13[[#This Row],[EE]]</f>
        <v>#REF!</v>
      </c>
      <c r="N17" s="44" t="e">
        <f>Table1321344[[#This Row],[EL]]-Table13[[#This Row],[EL]]</f>
        <v>#REF!</v>
      </c>
      <c r="O17" s="44">
        <f>Table1321344[[#This Row],[ES]]-Table13[[#This Row],[ES]]</f>
        <v>0</v>
      </c>
      <c r="P17" s="44" t="e">
        <f>Table1321344[[#This Row],[FI]]-Table13[[#This Row],[FI]]</f>
        <v>#REF!</v>
      </c>
      <c r="Q17" s="44" t="e">
        <f>Table1321344[[#This Row],[FR]]-Table13[[#This Row],[FR]]</f>
        <v>#REF!</v>
      </c>
      <c r="R17" s="44" t="e">
        <f>Table1321344[[#This Row],[HR ]]-Table13[[#This Row],[HR ]]</f>
        <v>#REF!</v>
      </c>
      <c r="S17" s="44" t="e">
        <f>Table1321344[[#This Row],[HU]]-Table13[[#This Row],[HU]]</f>
        <v>#REF!</v>
      </c>
      <c r="T17" s="44" t="e">
        <f>Table1321344[[#This Row],[IE]]-Table13[[#This Row],[IE]]</f>
        <v>#REF!</v>
      </c>
      <c r="U17" s="44" t="e">
        <f>Table1321344[[#This Row],[IS]]-Table13[[#This Row],[IS]]</f>
        <v>#REF!</v>
      </c>
      <c r="V17" s="44" t="e">
        <f>Table1321344[[#This Row],[IT]]-Table13[[#This Row],[IT]]</f>
        <v>#REF!</v>
      </c>
      <c r="W17" s="44" t="e">
        <f>Table1321344[[#This Row],[LT]]-Table13[[#This Row],[LT]]</f>
        <v>#REF!</v>
      </c>
      <c r="X17" s="44" t="e">
        <f>Table1321344[[#This Row],[LU]]-Table13[[#This Row],[LU]]</f>
        <v>#REF!</v>
      </c>
      <c r="Y17" s="44" t="e">
        <f>Table1321344[[#This Row],[LV]]-Table13[[#This Row],[LV]]</f>
        <v>#REF!</v>
      </c>
      <c r="Z17" s="44" t="e">
        <f>Table1321344[[#This Row],[MT]]-Table13[[#This Row],[MT]]</f>
        <v>#REF!</v>
      </c>
      <c r="AA17" s="44" t="e">
        <f>Table1321344[[#This Row],[NL]]-Table13[[#This Row],[NL]]</f>
        <v>#REF!</v>
      </c>
      <c r="AB17" s="44" t="e">
        <f>Table1321344[[#This Row],[NO]]-Table13[[#This Row],[NO]]</f>
        <v>#REF!</v>
      </c>
      <c r="AC17" s="44" t="e">
        <f>Table1321344[[#This Row],[PL]]-Table13[[#This Row],[PL]]</f>
        <v>#REF!</v>
      </c>
      <c r="AD17" s="44" t="e">
        <f>Table1321344[[#This Row],[PT]]-Table13[[#This Row],[PT]]</f>
        <v>#REF!</v>
      </c>
      <c r="AE17" s="44" t="e">
        <f>Table1321344[[#This Row],[RO]]-Table13[[#This Row],[RO]]</f>
        <v>#REF!</v>
      </c>
      <c r="AF17" s="44" t="e">
        <f>Table1321344[[#This Row],[SE]]-Table13[[#This Row],[SE]]</f>
        <v>#REF!</v>
      </c>
      <c r="AG17" s="44" t="e">
        <f>Table1321344[[#This Row],[SI]]-Table13[[#This Row],[SI]]</f>
        <v>#REF!</v>
      </c>
      <c r="AH17" s="44" t="e">
        <f>Table1321344[[#This Row],[SK]]-Table13[[#This Row],[SK]]</f>
        <v>#REF!</v>
      </c>
      <c r="AI17" s="44" t="e">
        <f>Table1321344[[#This Row],[GB-NIR]]-Table13[[#This Row],[GBNIR]]</f>
        <v>#REF!</v>
      </c>
      <c r="AJ17" s="44">
        <f>Table1321344[[#This Row],[-]]-Table13[[#This Row],[-]]</f>
        <v>0</v>
      </c>
      <c r="AK17" s="44" t="e">
        <f t="shared" si="0"/>
        <v>#REF!</v>
      </c>
    </row>
    <row r="18" spans="3:39" ht="16.5" thickTop="1" thickBot="1">
      <c r="C18" s="46" t="s">
        <v>168</v>
      </c>
      <c r="D18" s="2" t="s">
        <v>13</v>
      </c>
      <c r="E18" s="23" t="s">
        <v>102</v>
      </c>
      <c r="F18" s="44" t="e">
        <f>Table1321344[[#This Row],[AT]]-A_BackendPGCompil_March2025!E18</f>
        <v>#REF!</v>
      </c>
      <c r="G18" s="44" t="e">
        <f>Table1321344[[#This Row],[BE]]-Table13[[#This Row],[BE]]</f>
        <v>#REF!</v>
      </c>
      <c r="H18" s="44" t="e">
        <f>Table1321344[[#This Row],[BG]]-Table13[[#This Row],[BG]]</f>
        <v>#REF!</v>
      </c>
      <c r="I18" s="44" t="e">
        <f>Table1321344[[#This Row],[CY]]-Table13[[#This Row],[CY]]</f>
        <v>#REF!</v>
      </c>
      <c r="J18" s="44" t="e">
        <f>Table1321344[[#This Row],[CZ]]-Table13[[#This Row],[CZ]]</f>
        <v>#REF!</v>
      </c>
      <c r="K18" s="44" t="e">
        <f>Table1321344[[#This Row],[DE]]-Table13[[#This Row],[DE]]</f>
        <v>#REF!</v>
      </c>
      <c r="L18" s="44" t="e">
        <f>Table1321344[[#This Row],[DK]]-Table13[[#This Row],[DK]]</f>
        <v>#REF!</v>
      </c>
      <c r="M18" s="44" t="e">
        <f>Table1321344[[#This Row],[EE]]-Table13[[#This Row],[EE]]</f>
        <v>#REF!</v>
      </c>
      <c r="N18" s="44" t="e">
        <f>Table1321344[[#This Row],[EL]]-Table13[[#This Row],[EL]]</f>
        <v>#REF!</v>
      </c>
      <c r="O18" s="44">
        <f>Table1321344[[#This Row],[ES]]-Table13[[#This Row],[ES]]</f>
        <v>26</v>
      </c>
      <c r="P18" s="44" t="e">
        <f>Table1321344[[#This Row],[FI]]-Table13[[#This Row],[FI]]</f>
        <v>#REF!</v>
      </c>
      <c r="Q18" s="44" t="e">
        <f>Table1321344[[#This Row],[FR]]-Table13[[#This Row],[FR]]</f>
        <v>#REF!</v>
      </c>
      <c r="R18" s="44" t="e">
        <f>Table1321344[[#This Row],[HR ]]-Table13[[#This Row],[HR ]]</f>
        <v>#REF!</v>
      </c>
      <c r="S18" s="44" t="e">
        <f>Table1321344[[#This Row],[HU]]-Table13[[#This Row],[HU]]</f>
        <v>#REF!</v>
      </c>
      <c r="T18" s="44" t="e">
        <f>Table1321344[[#This Row],[IE]]-Table13[[#This Row],[IE]]</f>
        <v>#REF!</v>
      </c>
      <c r="U18" s="44" t="e">
        <f>Table1321344[[#This Row],[IS]]-Table13[[#This Row],[IS]]</f>
        <v>#REF!</v>
      </c>
      <c r="V18" s="44" t="e">
        <f>Table1321344[[#This Row],[IT]]-Table13[[#This Row],[IT]]</f>
        <v>#REF!</v>
      </c>
      <c r="W18" s="44" t="e">
        <f>Table1321344[[#This Row],[LT]]-Table13[[#This Row],[LT]]</f>
        <v>#REF!</v>
      </c>
      <c r="X18" s="44" t="e">
        <f>Table1321344[[#This Row],[LU]]-Table13[[#This Row],[LU]]</f>
        <v>#REF!</v>
      </c>
      <c r="Y18" s="44" t="e">
        <f>Table1321344[[#This Row],[LV]]-Table13[[#This Row],[LV]]</f>
        <v>#REF!</v>
      </c>
      <c r="Z18" s="44" t="e">
        <f>Table1321344[[#This Row],[MT]]-Table13[[#This Row],[MT]]</f>
        <v>#REF!</v>
      </c>
      <c r="AA18" s="44" t="e">
        <f>Table1321344[[#This Row],[NL]]-Table13[[#This Row],[NL]]</f>
        <v>#REF!</v>
      </c>
      <c r="AB18" s="44" t="e">
        <f>Table1321344[[#This Row],[NO]]-Table13[[#This Row],[NO]]</f>
        <v>#REF!</v>
      </c>
      <c r="AC18" s="44" t="e">
        <f>Table1321344[[#This Row],[PL]]-Table13[[#This Row],[PL]]</f>
        <v>#REF!</v>
      </c>
      <c r="AD18" s="44" t="e">
        <f>Table1321344[[#This Row],[PT]]-Table13[[#This Row],[PT]]</f>
        <v>#REF!</v>
      </c>
      <c r="AE18" s="44" t="e">
        <f>Table1321344[[#This Row],[RO]]-Table13[[#This Row],[RO]]</f>
        <v>#REF!</v>
      </c>
      <c r="AF18" s="44" t="e">
        <f>Table1321344[[#This Row],[SE]]-Table13[[#This Row],[SE]]</f>
        <v>#REF!</v>
      </c>
      <c r="AG18" s="44" t="e">
        <f>Table1321344[[#This Row],[SI]]-Table13[[#This Row],[SI]]</f>
        <v>#REF!</v>
      </c>
      <c r="AH18" s="44" t="e">
        <f>Table1321344[[#This Row],[SK]]-Table13[[#This Row],[SK]]</f>
        <v>#REF!</v>
      </c>
      <c r="AI18" s="44" t="e">
        <f>Table1321344[[#This Row],[GB-NIR]]-Table13[[#This Row],[GBNIR]]</f>
        <v>#REF!</v>
      </c>
      <c r="AJ18" s="44">
        <f>Table1321344[[#This Row],[-]]-Table13[[#This Row],[-]]</f>
        <v>0</v>
      </c>
      <c r="AK18" s="44" t="e">
        <f t="shared" si="0"/>
        <v>#REF!</v>
      </c>
    </row>
    <row r="19" spans="3:39" ht="16.5" thickTop="1" thickBot="1">
      <c r="C19" s="21" t="s">
        <v>30</v>
      </c>
      <c r="D19" s="2" t="s">
        <v>130</v>
      </c>
      <c r="E19" s="23" t="s">
        <v>103</v>
      </c>
      <c r="F19" s="44" t="e">
        <f>Table1321344[[#This Row],[AT]]-A_BackendPGCompil_March2025!E19</f>
        <v>#REF!</v>
      </c>
      <c r="G19" s="44" t="e">
        <f>Table1321344[[#This Row],[BE]]-Table13[[#This Row],[BE]]</f>
        <v>#REF!</v>
      </c>
      <c r="H19" s="44" t="e">
        <f>Table1321344[[#This Row],[BG]]-Table13[[#This Row],[BG]]</f>
        <v>#REF!</v>
      </c>
      <c r="I19" s="44" t="e">
        <f>Table1321344[[#This Row],[CY]]-Table13[[#This Row],[CY]]</f>
        <v>#REF!</v>
      </c>
      <c r="J19" s="44" t="e">
        <f>Table1321344[[#This Row],[CZ]]-Table13[[#This Row],[CZ]]</f>
        <v>#REF!</v>
      </c>
      <c r="K19" s="44" t="e">
        <f>Table1321344[[#This Row],[DE]]-Table13[[#This Row],[DE]]</f>
        <v>#REF!</v>
      </c>
      <c r="L19" s="44" t="e">
        <f>Table1321344[[#This Row],[DK]]-Table13[[#This Row],[DK]]</f>
        <v>#REF!</v>
      </c>
      <c r="M19" s="44" t="e">
        <f>Table1321344[[#This Row],[EE]]-Table13[[#This Row],[EE]]</f>
        <v>#REF!</v>
      </c>
      <c r="N19" s="44" t="e">
        <f>Table1321344[[#This Row],[EL]]-Table13[[#This Row],[EL]]</f>
        <v>#REF!</v>
      </c>
      <c r="O19" s="44">
        <f>Table1321344[[#This Row],[ES]]-Table13[[#This Row],[ES]]</f>
        <v>1</v>
      </c>
      <c r="P19" s="44" t="e">
        <f>Table1321344[[#This Row],[FI]]-Table13[[#This Row],[FI]]</f>
        <v>#REF!</v>
      </c>
      <c r="Q19" s="44" t="e">
        <f>Table1321344[[#This Row],[FR]]-Table13[[#This Row],[FR]]</f>
        <v>#REF!</v>
      </c>
      <c r="R19" s="44" t="e">
        <f>Table1321344[[#This Row],[HR ]]-Table13[[#This Row],[HR ]]</f>
        <v>#REF!</v>
      </c>
      <c r="S19" s="44" t="e">
        <f>Table1321344[[#This Row],[HU]]-Table13[[#This Row],[HU]]</f>
        <v>#REF!</v>
      </c>
      <c r="T19" s="44" t="e">
        <f>Table1321344[[#This Row],[IE]]-Table13[[#This Row],[IE]]</f>
        <v>#REF!</v>
      </c>
      <c r="U19" s="44" t="e">
        <f>Table1321344[[#This Row],[IS]]-Table13[[#This Row],[IS]]</f>
        <v>#REF!</v>
      </c>
      <c r="V19" s="44" t="e">
        <f>Table1321344[[#This Row],[IT]]-Table13[[#This Row],[IT]]</f>
        <v>#REF!</v>
      </c>
      <c r="W19" s="44" t="e">
        <f>Table1321344[[#This Row],[LT]]-Table13[[#This Row],[LT]]</f>
        <v>#REF!</v>
      </c>
      <c r="X19" s="44" t="e">
        <f>Table1321344[[#This Row],[LU]]-Table13[[#This Row],[LU]]</f>
        <v>#REF!</v>
      </c>
      <c r="Y19" s="44" t="e">
        <f>Table1321344[[#This Row],[LV]]-Table13[[#This Row],[LV]]</f>
        <v>#REF!</v>
      </c>
      <c r="Z19" s="44" t="e">
        <f>Table1321344[[#This Row],[MT]]-Table13[[#This Row],[MT]]</f>
        <v>#REF!</v>
      </c>
      <c r="AA19" s="44" t="e">
        <f>Table1321344[[#This Row],[NL]]-Table13[[#This Row],[NL]]</f>
        <v>#REF!</v>
      </c>
      <c r="AB19" s="44" t="e">
        <f>Table1321344[[#This Row],[NO]]-Table13[[#This Row],[NO]]</f>
        <v>#REF!</v>
      </c>
      <c r="AC19" s="44" t="e">
        <f>Table1321344[[#This Row],[PL]]-Table13[[#This Row],[PL]]</f>
        <v>#REF!</v>
      </c>
      <c r="AD19" s="44" t="e">
        <f>Table1321344[[#This Row],[PT]]-Table13[[#This Row],[PT]]</f>
        <v>#REF!</v>
      </c>
      <c r="AE19" s="44" t="e">
        <f>Table1321344[[#This Row],[RO]]-Table13[[#This Row],[RO]]</f>
        <v>#REF!</v>
      </c>
      <c r="AF19" s="44" t="e">
        <f>Table1321344[[#This Row],[SE]]-Table13[[#This Row],[SE]]</f>
        <v>#REF!</v>
      </c>
      <c r="AG19" s="44" t="e">
        <f>Table1321344[[#This Row],[SI]]-Table13[[#This Row],[SI]]</f>
        <v>#REF!</v>
      </c>
      <c r="AH19" s="44" t="e">
        <f>Table1321344[[#This Row],[SK]]-Table13[[#This Row],[SK]]</f>
        <v>#REF!</v>
      </c>
      <c r="AI19" s="44" t="e">
        <f>Table1321344[[#This Row],[GB-NIR]]-Table13[[#This Row],[GBNIR]]</f>
        <v>#REF!</v>
      </c>
      <c r="AJ19" s="44">
        <f>Table1321344[[#This Row],[-]]-Table13[[#This Row],[-]]</f>
        <v>0</v>
      </c>
      <c r="AK19" s="44" t="e">
        <f t="shared" si="0"/>
        <v>#REF!</v>
      </c>
    </row>
    <row r="20" spans="3:39" ht="15.75" thickTop="1">
      <c r="C20" s="171" t="s">
        <v>29</v>
      </c>
      <c r="D20" s="2" t="s">
        <v>24</v>
      </c>
      <c r="E20" s="2">
        <v>35</v>
      </c>
      <c r="F20" s="44" t="e">
        <f>Table1321344[[#This Row],[AT]]-A_BackendPGCompil_March2025!E20</f>
        <v>#REF!</v>
      </c>
      <c r="G20" s="44" t="e">
        <f>Table1321344[[#This Row],[BE]]-Table13[[#This Row],[BE]]</f>
        <v>#REF!</v>
      </c>
      <c r="H20" s="44" t="e">
        <f>Table1321344[[#This Row],[BG]]-Table13[[#This Row],[BG]]</f>
        <v>#REF!</v>
      </c>
      <c r="I20" s="44" t="e">
        <f>Table1321344[[#This Row],[CY]]-Table13[[#This Row],[CY]]</f>
        <v>#REF!</v>
      </c>
      <c r="J20" s="44" t="e">
        <f>Table1321344[[#This Row],[CZ]]-Table13[[#This Row],[CZ]]</f>
        <v>#REF!</v>
      </c>
      <c r="K20" s="44" t="e">
        <f>Table1321344[[#This Row],[DE]]-Table13[[#This Row],[DE]]</f>
        <v>#REF!</v>
      </c>
      <c r="L20" s="44" t="e">
        <f>Table1321344[[#This Row],[DK]]-Table13[[#This Row],[DK]]</f>
        <v>#REF!</v>
      </c>
      <c r="M20" s="44" t="e">
        <f>Table1321344[[#This Row],[EE]]-Table13[[#This Row],[EE]]</f>
        <v>#REF!</v>
      </c>
      <c r="N20" s="44" t="e">
        <f>Table1321344[[#This Row],[EL]]-Table13[[#This Row],[EL]]</f>
        <v>#REF!</v>
      </c>
      <c r="O20" s="44">
        <f>Table1321344[[#This Row],[ES]]-Table13[[#This Row],[ES]]</f>
        <v>1</v>
      </c>
      <c r="P20" s="44" t="e">
        <f>Table1321344[[#This Row],[FI]]-Table13[[#This Row],[FI]]</f>
        <v>#REF!</v>
      </c>
      <c r="Q20" s="44" t="e">
        <f>Table1321344[[#This Row],[FR]]-Table13[[#This Row],[FR]]</f>
        <v>#REF!</v>
      </c>
      <c r="R20" s="44" t="e">
        <f>Table1321344[[#This Row],[HR ]]-Table13[[#This Row],[HR ]]</f>
        <v>#REF!</v>
      </c>
      <c r="S20" s="44" t="e">
        <f>Table1321344[[#This Row],[HU]]-Table13[[#This Row],[HU]]</f>
        <v>#REF!</v>
      </c>
      <c r="T20" s="44" t="e">
        <f>Table1321344[[#This Row],[IE]]-Table13[[#This Row],[IE]]</f>
        <v>#REF!</v>
      </c>
      <c r="U20" s="44" t="e">
        <f>Table1321344[[#This Row],[IS]]-Table13[[#This Row],[IS]]</f>
        <v>#REF!</v>
      </c>
      <c r="V20" s="44" t="e">
        <f>Table1321344[[#This Row],[IT]]-Table13[[#This Row],[IT]]</f>
        <v>#REF!</v>
      </c>
      <c r="W20" s="44" t="e">
        <f>Table1321344[[#This Row],[LT]]-Table13[[#This Row],[LT]]</f>
        <v>#REF!</v>
      </c>
      <c r="X20" s="44" t="e">
        <f>Table1321344[[#This Row],[LU]]-Table13[[#This Row],[LU]]</f>
        <v>#REF!</v>
      </c>
      <c r="Y20" s="44" t="e">
        <f>Table1321344[[#This Row],[LV]]-Table13[[#This Row],[LV]]</f>
        <v>#REF!</v>
      </c>
      <c r="Z20" s="44" t="e">
        <f>Table1321344[[#This Row],[MT]]-Table13[[#This Row],[MT]]</f>
        <v>#REF!</v>
      </c>
      <c r="AA20" s="44" t="e">
        <f>Table1321344[[#This Row],[NL]]-Table13[[#This Row],[NL]]</f>
        <v>#REF!</v>
      </c>
      <c r="AB20" s="44" t="e">
        <f>Table1321344[[#This Row],[NO]]-Table13[[#This Row],[NO]]</f>
        <v>#REF!</v>
      </c>
      <c r="AC20" s="44" t="e">
        <f>Table1321344[[#This Row],[PL]]-Table13[[#This Row],[PL]]</f>
        <v>#REF!</v>
      </c>
      <c r="AD20" s="44" t="e">
        <f>Table1321344[[#This Row],[PT]]-Table13[[#This Row],[PT]]</f>
        <v>#REF!</v>
      </c>
      <c r="AE20" s="44" t="e">
        <f>Table1321344[[#This Row],[RO]]-Table13[[#This Row],[RO]]</f>
        <v>#REF!</v>
      </c>
      <c r="AF20" s="44" t="e">
        <f>Table1321344[[#This Row],[SE]]-Table13[[#This Row],[SE]]</f>
        <v>#REF!</v>
      </c>
      <c r="AG20" s="44" t="e">
        <f>Table1321344[[#This Row],[SI]]-Table13[[#This Row],[SI]]</f>
        <v>#REF!</v>
      </c>
      <c r="AH20" s="44" t="e">
        <f>Table1321344[[#This Row],[SK]]-Table13[[#This Row],[SK]]</f>
        <v>#REF!</v>
      </c>
      <c r="AI20" s="44" t="e">
        <f>Table1321344[[#This Row],[GB-NIR]]-Table13[[#This Row],[GBNIR]]</f>
        <v>#REF!</v>
      </c>
      <c r="AJ20" s="44">
        <f>Table1321344[[#This Row],[-]]-Table13[[#This Row],[-]]</f>
        <v>0</v>
      </c>
      <c r="AK20" s="44" t="e">
        <f t="shared" si="0"/>
        <v>#REF!</v>
      </c>
    </row>
    <row r="21" spans="3:39" ht="15" customHeight="1" thickBot="1">
      <c r="C21" s="172"/>
      <c r="D21" s="2" t="s">
        <v>173</v>
      </c>
      <c r="E21" s="77" t="s">
        <v>104</v>
      </c>
      <c r="F21" s="44" t="e">
        <f>Table1321344[[#This Row],[AT]]-A_BackendPGCompil_March2025!E21</f>
        <v>#REF!</v>
      </c>
      <c r="G21" s="44" t="e">
        <f>Table1321344[[#This Row],[BE]]-Table13[[#This Row],[BE]]</f>
        <v>#REF!</v>
      </c>
      <c r="H21" s="44" t="e">
        <f>Table1321344[[#This Row],[BG]]-Table13[[#This Row],[BG]]</f>
        <v>#REF!</v>
      </c>
      <c r="I21" s="44" t="e">
        <f>Table1321344[[#This Row],[CY]]-Table13[[#This Row],[CY]]</f>
        <v>#REF!</v>
      </c>
      <c r="J21" s="44" t="e">
        <f>Table1321344[[#This Row],[CZ]]-Table13[[#This Row],[CZ]]</f>
        <v>#REF!</v>
      </c>
      <c r="K21" s="44" t="e">
        <f>Table1321344[[#This Row],[DE]]-Table13[[#This Row],[DE]]</f>
        <v>#REF!</v>
      </c>
      <c r="L21" s="44" t="e">
        <f>Table1321344[[#This Row],[DK]]-Table13[[#This Row],[DK]]</f>
        <v>#REF!</v>
      </c>
      <c r="M21" s="44" t="e">
        <f>Table1321344[[#This Row],[EE]]-Table13[[#This Row],[EE]]</f>
        <v>#REF!</v>
      </c>
      <c r="N21" s="44" t="e">
        <f>Table1321344[[#This Row],[EL]]-Table13[[#This Row],[EL]]</f>
        <v>#REF!</v>
      </c>
      <c r="O21" s="44">
        <f>Table1321344[[#This Row],[ES]]-Table13[[#This Row],[ES]]</f>
        <v>5</v>
      </c>
      <c r="P21" s="44" t="e">
        <f>Table1321344[[#This Row],[FI]]-Table13[[#This Row],[FI]]</f>
        <v>#REF!</v>
      </c>
      <c r="Q21" s="44" t="e">
        <f>Table1321344[[#This Row],[FR]]-Table13[[#This Row],[FR]]</f>
        <v>#REF!</v>
      </c>
      <c r="R21" s="44" t="e">
        <f>Table1321344[[#This Row],[HR ]]-Table13[[#This Row],[HR ]]</f>
        <v>#REF!</v>
      </c>
      <c r="S21" s="44" t="e">
        <f>Table1321344[[#This Row],[HU]]-Table13[[#This Row],[HU]]</f>
        <v>#REF!</v>
      </c>
      <c r="T21" s="44" t="e">
        <f>Table1321344[[#This Row],[IE]]-Table13[[#This Row],[IE]]</f>
        <v>#REF!</v>
      </c>
      <c r="U21" s="44" t="e">
        <f>Table1321344[[#This Row],[IS]]-Table13[[#This Row],[IS]]</f>
        <v>#REF!</v>
      </c>
      <c r="V21" s="44" t="e">
        <f>Table1321344[[#This Row],[IT]]-Table13[[#This Row],[IT]]</f>
        <v>#REF!</v>
      </c>
      <c r="W21" s="44" t="e">
        <f>Table1321344[[#This Row],[LT]]-Table13[[#This Row],[LT]]</f>
        <v>#REF!</v>
      </c>
      <c r="X21" s="44" t="e">
        <f>Table1321344[[#This Row],[LU]]-Table13[[#This Row],[LU]]</f>
        <v>#REF!</v>
      </c>
      <c r="Y21" s="44" t="e">
        <f>Table1321344[[#This Row],[LV]]-Table13[[#This Row],[LV]]</f>
        <v>#REF!</v>
      </c>
      <c r="Z21" s="44" t="e">
        <f>Table1321344[[#This Row],[MT]]-Table13[[#This Row],[MT]]</f>
        <v>#REF!</v>
      </c>
      <c r="AA21" s="44" t="e">
        <f>Table1321344[[#This Row],[NL]]-Table13[[#This Row],[NL]]</f>
        <v>#REF!</v>
      </c>
      <c r="AB21" s="44" t="e">
        <f>Table1321344[[#This Row],[NO]]-Table13[[#This Row],[NO]]</f>
        <v>#REF!</v>
      </c>
      <c r="AC21" s="44" t="e">
        <f>Table1321344[[#This Row],[PL]]-Table13[[#This Row],[PL]]</f>
        <v>#REF!</v>
      </c>
      <c r="AD21" s="44" t="e">
        <f>Table1321344[[#This Row],[PT]]-Table13[[#This Row],[PT]]</f>
        <v>#REF!</v>
      </c>
      <c r="AE21" s="44" t="e">
        <f>Table1321344[[#This Row],[RO]]-Table13[[#This Row],[RO]]</f>
        <v>#REF!</v>
      </c>
      <c r="AF21" s="44" t="e">
        <f>Table1321344[[#This Row],[SE]]-Table13[[#This Row],[SE]]</f>
        <v>#REF!</v>
      </c>
      <c r="AG21" s="44" t="e">
        <f>Table1321344[[#This Row],[SI]]-Table13[[#This Row],[SI]]</f>
        <v>#REF!</v>
      </c>
      <c r="AH21" s="44" t="e">
        <f>Table1321344[[#This Row],[SK]]-Table13[[#This Row],[SK]]</f>
        <v>#REF!</v>
      </c>
      <c r="AI21" s="44" t="e">
        <f>Table1321344[[#This Row],[GB-NIR]]-Table13[[#This Row],[GBNIR]]</f>
        <v>#REF!</v>
      </c>
      <c r="AJ21" s="44">
        <f>Table1321344[[#This Row],[-]]-Table13[[#This Row],[-]]</f>
        <v>0</v>
      </c>
      <c r="AK21" s="44"/>
    </row>
    <row r="22" spans="3:39" ht="24.6" customHeight="1" thickTop="1">
      <c r="C22" s="171" t="s">
        <v>16</v>
      </c>
      <c r="D22" s="2" t="s">
        <v>26</v>
      </c>
      <c r="E22" s="23" t="s">
        <v>105</v>
      </c>
      <c r="F22" s="44" t="e">
        <f>Table1321344[[#This Row],[AT]]-A_BackendPGCompil_March2025!E22</f>
        <v>#REF!</v>
      </c>
      <c r="G22" s="44" t="e">
        <f>Table1321344[[#This Row],[BE]]-Table13[[#This Row],[BE]]</f>
        <v>#REF!</v>
      </c>
      <c r="H22" s="44" t="e">
        <f>Table1321344[[#This Row],[BG]]-Table13[[#This Row],[BG]]</f>
        <v>#REF!</v>
      </c>
      <c r="I22" s="44" t="e">
        <f>Table1321344[[#This Row],[CY]]-Table13[[#This Row],[CY]]</f>
        <v>#REF!</v>
      </c>
      <c r="J22" s="44" t="e">
        <f>Table1321344[[#This Row],[CZ]]-Table13[[#This Row],[CZ]]</f>
        <v>#REF!</v>
      </c>
      <c r="K22" s="44" t="e">
        <f>Table1321344[[#This Row],[DE]]-Table13[[#This Row],[DE]]</f>
        <v>#REF!</v>
      </c>
      <c r="L22" s="44" t="e">
        <f>Table1321344[[#This Row],[DK]]-Table13[[#This Row],[DK]]</f>
        <v>#REF!</v>
      </c>
      <c r="M22" s="44" t="e">
        <f>Table1321344[[#This Row],[EE]]-Table13[[#This Row],[EE]]</f>
        <v>#REF!</v>
      </c>
      <c r="N22" s="44" t="e">
        <f>Table1321344[[#This Row],[EL]]-Table13[[#This Row],[EL]]</f>
        <v>#REF!</v>
      </c>
      <c r="O22" s="44">
        <f>Table1321344[[#This Row],[ES]]-Table13[[#This Row],[ES]]</f>
        <v>1</v>
      </c>
      <c r="P22" s="44" t="e">
        <f>Table1321344[[#This Row],[FI]]-Table13[[#This Row],[FI]]</f>
        <v>#REF!</v>
      </c>
      <c r="Q22" s="44" t="e">
        <f>Table1321344[[#This Row],[FR]]-Table13[[#This Row],[FR]]</f>
        <v>#REF!</v>
      </c>
      <c r="R22" s="44" t="e">
        <f>Table1321344[[#This Row],[HR ]]-Table13[[#This Row],[HR ]]</f>
        <v>#REF!</v>
      </c>
      <c r="S22" s="44" t="e">
        <f>Table1321344[[#This Row],[HU]]-Table13[[#This Row],[HU]]</f>
        <v>#REF!</v>
      </c>
      <c r="T22" s="44" t="e">
        <f>Table1321344[[#This Row],[IE]]-Table13[[#This Row],[IE]]</f>
        <v>#REF!</v>
      </c>
      <c r="U22" s="44" t="e">
        <f>Table1321344[[#This Row],[IS]]-Table13[[#This Row],[IS]]</f>
        <v>#REF!</v>
      </c>
      <c r="V22" s="44" t="e">
        <f>Table1321344[[#This Row],[IT]]-Table13[[#This Row],[IT]]</f>
        <v>#REF!</v>
      </c>
      <c r="W22" s="44" t="e">
        <f>Table1321344[[#This Row],[LT]]-Table13[[#This Row],[LT]]</f>
        <v>#REF!</v>
      </c>
      <c r="X22" s="44" t="e">
        <f>Table1321344[[#This Row],[LU]]-Table13[[#This Row],[LU]]</f>
        <v>#REF!</v>
      </c>
      <c r="Y22" s="44" t="e">
        <f>Table1321344[[#This Row],[LV]]-Table13[[#This Row],[LV]]</f>
        <v>#REF!</v>
      </c>
      <c r="Z22" s="44" t="e">
        <f>Table1321344[[#This Row],[MT]]-Table13[[#This Row],[MT]]</f>
        <v>#REF!</v>
      </c>
      <c r="AA22" s="44" t="e">
        <f>Table1321344[[#This Row],[NL]]-Table13[[#This Row],[NL]]</f>
        <v>#REF!</v>
      </c>
      <c r="AB22" s="44" t="e">
        <f>Table1321344[[#This Row],[NO]]-Table13[[#This Row],[NO]]</f>
        <v>#REF!</v>
      </c>
      <c r="AC22" s="44" t="e">
        <f>Table1321344[[#This Row],[PL]]-Table13[[#This Row],[PL]]</f>
        <v>#REF!</v>
      </c>
      <c r="AD22" s="44" t="e">
        <f>Table1321344[[#This Row],[PT]]-Table13[[#This Row],[PT]]</f>
        <v>#REF!</v>
      </c>
      <c r="AE22" s="44" t="e">
        <f>Table1321344[[#This Row],[RO]]-Table13[[#This Row],[RO]]</f>
        <v>#REF!</v>
      </c>
      <c r="AF22" s="44" t="e">
        <f>Table1321344[[#This Row],[SE]]-Table13[[#This Row],[SE]]</f>
        <v>#REF!</v>
      </c>
      <c r="AG22" s="44" t="e">
        <f>Table1321344[[#This Row],[SI]]-Table13[[#This Row],[SI]]</f>
        <v>#REF!</v>
      </c>
      <c r="AH22" s="44" t="e">
        <f>Table1321344[[#This Row],[SK]]-Table13[[#This Row],[SK]]</f>
        <v>#REF!</v>
      </c>
      <c r="AI22" s="44" t="e">
        <f>Table1321344[[#This Row],[GB-NIR]]-Table13[[#This Row],[GBNIR]]</f>
        <v>#REF!</v>
      </c>
      <c r="AJ22" s="44">
        <f>Table1321344[[#This Row],[-]]-Table13[[#This Row],[-]]</f>
        <v>0</v>
      </c>
      <c r="AK22" s="44" t="e">
        <f t="shared" si="0"/>
        <v>#REF!</v>
      </c>
    </row>
    <row r="23" spans="3:39" ht="15.75" thickBot="1">
      <c r="C23" s="172"/>
      <c r="D23" s="2" t="s">
        <v>25</v>
      </c>
      <c r="E23" s="23" t="s">
        <v>106</v>
      </c>
      <c r="F23" s="44" t="e">
        <f>Table1321344[[#This Row],[AT]]-A_BackendPGCompil_March2025!E23</f>
        <v>#REF!</v>
      </c>
      <c r="G23" s="44" t="e">
        <f>Table1321344[[#This Row],[BE]]-Table13[[#This Row],[BE]]</f>
        <v>#REF!</v>
      </c>
      <c r="H23" s="44" t="e">
        <f>Table1321344[[#This Row],[BG]]-Table13[[#This Row],[BG]]</f>
        <v>#REF!</v>
      </c>
      <c r="I23" s="44" t="e">
        <f>Table1321344[[#This Row],[CY]]-Table13[[#This Row],[CY]]</f>
        <v>#REF!</v>
      </c>
      <c r="J23" s="44" t="e">
        <f>Table1321344[[#This Row],[CZ]]-Table13[[#This Row],[CZ]]</f>
        <v>#REF!</v>
      </c>
      <c r="K23" s="44" t="e">
        <f>Table1321344[[#This Row],[DE]]-Table13[[#This Row],[DE]]</f>
        <v>#REF!</v>
      </c>
      <c r="L23" s="44" t="e">
        <f>Table1321344[[#This Row],[DK]]-Table13[[#This Row],[DK]]</f>
        <v>#REF!</v>
      </c>
      <c r="M23" s="44" t="e">
        <f>Table1321344[[#This Row],[EE]]-Table13[[#This Row],[EE]]</f>
        <v>#REF!</v>
      </c>
      <c r="N23" s="44" t="e">
        <f>Table1321344[[#This Row],[EL]]-Table13[[#This Row],[EL]]</f>
        <v>#REF!</v>
      </c>
      <c r="O23" s="44">
        <f>Table1321344[[#This Row],[ES]]-Table13[[#This Row],[ES]]</f>
        <v>0</v>
      </c>
      <c r="P23" s="44" t="e">
        <f>Table1321344[[#This Row],[FI]]-Table13[[#This Row],[FI]]</f>
        <v>#REF!</v>
      </c>
      <c r="Q23" s="44" t="e">
        <f>Table1321344[[#This Row],[FR]]-Table13[[#This Row],[FR]]</f>
        <v>#REF!</v>
      </c>
      <c r="R23" s="44" t="e">
        <f>Table1321344[[#This Row],[HR ]]-Table13[[#This Row],[HR ]]</f>
        <v>#REF!</v>
      </c>
      <c r="S23" s="44" t="e">
        <f>Table1321344[[#This Row],[HU]]-Table13[[#This Row],[HU]]</f>
        <v>#REF!</v>
      </c>
      <c r="T23" s="44" t="e">
        <f>Table1321344[[#This Row],[IE]]-Table13[[#This Row],[IE]]</f>
        <v>#REF!</v>
      </c>
      <c r="U23" s="44" t="e">
        <f>Table1321344[[#This Row],[IS]]-Table13[[#This Row],[IS]]</f>
        <v>#REF!</v>
      </c>
      <c r="V23" s="44" t="e">
        <f>Table1321344[[#This Row],[IT]]-Table13[[#This Row],[IT]]</f>
        <v>#REF!</v>
      </c>
      <c r="W23" s="44" t="e">
        <f>Table1321344[[#This Row],[LT]]-Table13[[#This Row],[LT]]</f>
        <v>#REF!</v>
      </c>
      <c r="X23" s="44" t="e">
        <f>Table1321344[[#This Row],[LU]]-Table13[[#This Row],[LU]]</f>
        <v>#REF!</v>
      </c>
      <c r="Y23" s="44" t="e">
        <f>Table1321344[[#This Row],[LV]]-Table13[[#This Row],[LV]]</f>
        <v>#REF!</v>
      </c>
      <c r="Z23" s="44" t="e">
        <f>Table1321344[[#This Row],[MT]]-Table13[[#This Row],[MT]]</f>
        <v>#REF!</v>
      </c>
      <c r="AA23" s="44" t="e">
        <f>Table1321344[[#This Row],[NL]]-Table13[[#This Row],[NL]]</f>
        <v>#REF!</v>
      </c>
      <c r="AB23" s="44" t="e">
        <f>Table1321344[[#This Row],[NO]]-Table13[[#This Row],[NO]]</f>
        <v>#REF!</v>
      </c>
      <c r="AC23" s="44" t="e">
        <f>Table1321344[[#This Row],[PL]]-Table13[[#This Row],[PL]]</f>
        <v>#REF!</v>
      </c>
      <c r="AD23" s="44" t="e">
        <f>Table1321344[[#This Row],[PT]]-Table13[[#This Row],[PT]]</f>
        <v>#REF!</v>
      </c>
      <c r="AE23" s="44" t="e">
        <f>Table1321344[[#This Row],[RO]]-Table13[[#This Row],[RO]]</f>
        <v>#REF!</v>
      </c>
      <c r="AF23" s="44" t="e">
        <f>Table1321344[[#This Row],[SE]]-Table13[[#This Row],[SE]]</f>
        <v>#REF!</v>
      </c>
      <c r="AG23" s="44" t="e">
        <f>Table1321344[[#This Row],[SI]]-Table13[[#This Row],[SI]]</f>
        <v>#REF!</v>
      </c>
      <c r="AH23" s="44" t="e">
        <f>Table1321344[[#This Row],[SK]]-Table13[[#This Row],[SK]]</f>
        <v>#REF!</v>
      </c>
      <c r="AI23" s="44" t="e">
        <f>Table1321344[[#This Row],[GB-NIR]]-Table13[[#This Row],[GBNIR]]</f>
        <v>#REF!</v>
      </c>
      <c r="AJ23" s="44">
        <f>Table1321344[[#This Row],[-]]-Table13[[#This Row],[-]]</f>
        <v>0</v>
      </c>
      <c r="AK23" s="44" t="e">
        <f t="shared" si="0"/>
        <v>#REF!</v>
      </c>
    </row>
    <row r="24" spans="3:39" ht="16.5" thickTop="1" thickBot="1">
      <c r="C24" s="106"/>
      <c r="D24" s="2" t="s">
        <v>180</v>
      </c>
      <c r="E24" s="23"/>
      <c r="F24" s="44" t="e">
        <f>Table1321344[[#This Row],[AT]]-A_BackendPGCompil_March2025!E24</f>
        <v>#REF!</v>
      </c>
      <c r="G24" s="44" t="e">
        <f>Table1321344[[#This Row],[BE]]-Table13[[#This Row],[BE]]</f>
        <v>#REF!</v>
      </c>
      <c r="H24" s="44" t="e">
        <f>Table1321344[[#This Row],[BG]]-Table13[[#This Row],[BG]]</f>
        <v>#REF!</v>
      </c>
      <c r="I24" s="44" t="e">
        <f>Table1321344[[#This Row],[CY]]-Table13[[#This Row],[CY]]</f>
        <v>#REF!</v>
      </c>
      <c r="J24" s="44" t="e">
        <f>Table1321344[[#This Row],[CZ]]-Table13[[#This Row],[CZ]]</f>
        <v>#REF!</v>
      </c>
      <c r="K24" s="44" t="e">
        <f>Table1321344[[#This Row],[DE]]-Table13[[#This Row],[DE]]</f>
        <v>#REF!</v>
      </c>
      <c r="L24" s="44" t="e">
        <f>Table1321344[[#This Row],[DK]]-Table13[[#This Row],[DK]]</f>
        <v>#REF!</v>
      </c>
      <c r="M24" s="44" t="e">
        <f>Table1321344[[#This Row],[EE]]-Table13[[#This Row],[EE]]</f>
        <v>#REF!</v>
      </c>
      <c r="N24" s="44" t="e">
        <f>Table1321344[[#This Row],[EL]]-Table13[[#This Row],[EL]]</f>
        <v>#REF!</v>
      </c>
      <c r="O24" s="44">
        <f>Table1321344[[#This Row],[ES]]-Table13[[#This Row],[ES]]</f>
        <v>0</v>
      </c>
      <c r="P24" s="44" t="e">
        <f>Table1321344[[#This Row],[FI]]-Table13[[#This Row],[FI]]</f>
        <v>#REF!</v>
      </c>
      <c r="Q24" s="44" t="e">
        <f>Table1321344[[#This Row],[FR]]-Table13[[#This Row],[FR]]</f>
        <v>#REF!</v>
      </c>
      <c r="R24" s="44" t="e">
        <f>Table1321344[[#This Row],[HR ]]-Table13[[#This Row],[HR ]]</f>
        <v>#REF!</v>
      </c>
      <c r="S24" s="44" t="e">
        <f>Table1321344[[#This Row],[HU]]-Table13[[#This Row],[HU]]</f>
        <v>#REF!</v>
      </c>
      <c r="T24" s="44" t="e">
        <f>Table1321344[[#This Row],[IE]]-Table13[[#This Row],[IE]]</f>
        <v>#REF!</v>
      </c>
      <c r="U24" s="44" t="e">
        <f>Table1321344[[#This Row],[IS]]-Table13[[#This Row],[IS]]</f>
        <v>#REF!</v>
      </c>
      <c r="V24" s="44" t="e">
        <f>Table1321344[[#This Row],[IT]]-Table13[[#This Row],[IT]]</f>
        <v>#REF!</v>
      </c>
      <c r="W24" s="44" t="e">
        <f>Table1321344[[#This Row],[LT]]-Table13[[#This Row],[LT]]</f>
        <v>#REF!</v>
      </c>
      <c r="X24" s="44" t="e">
        <f>Table1321344[[#This Row],[LU]]-Table13[[#This Row],[LU]]</f>
        <v>#REF!</v>
      </c>
      <c r="Y24" s="44" t="e">
        <f>Table1321344[[#This Row],[LV]]-Table13[[#This Row],[LV]]</f>
        <v>#REF!</v>
      </c>
      <c r="Z24" s="44" t="e">
        <f>Table1321344[[#This Row],[MT]]-Table13[[#This Row],[MT]]</f>
        <v>#REF!</v>
      </c>
      <c r="AA24" s="44" t="e">
        <f>Table1321344[[#This Row],[NL]]-Table13[[#This Row],[NL]]</f>
        <v>#REF!</v>
      </c>
      <c r="AB24" s="44" t="e">
        <f>Table1321344[[#This Row],[NO]]-Table13[[#This Row],[NO]]</f>
        <v>#REF!</v>
      </c>
      <c r="AC24" s="44" t="e">
        <f>Table1321344[[#This Row],[PL]]-Table13[[#This Row],[PL]]</f>
        <v>#REF!</v>
      </c>
      <c r="AD24" s="44" t="e">
        <f>Table1321344[[#This Row],[PT]]-Table13[[#This Row],[PT]]</f>
        <v>#REF!</v>
      </c>
      <c r="AE24" s="44" t="e">
        <f>Table1321344[[#This Row],[RO]]-Table13[[#This Row],[RO]]</f>
        <v>#REF!</v>
      </c>
      <c r="AF24" s="44" t="e">
        <f>Table1321344[[#This Row],[SE]]-Table13[[#This Row],[SE]]</f>
        <v>#REF!</v>
      </c>
      <c r="AG24" s="44" t="e">
        <f>Table1321344[[#This Row],[SI]]-Table13[[#This Row],[SI]]</f>
        <v>#REF!</v>
      </c>
      <c r="AH24" s="44" t="e">
        <f>Table1321344[[#This Row],[SK]]-Table13[[#This Row],[SK]]</f>
        <v>#REF!</v>
      </c>
      <c r="AI24" s="44" t="e">
        <f>Table1321344[[#This Row],[GB-NIR]]-Table13[[#This Row],[GBNIR]]</f>
        <v>#REF!</v>
      </c>
      <c r="AJ24" s="44"/>
      <c r="AK24" s="44"/>
    </row>
    <row r="25" spans="3:39" ht="15.75" thickTop="1">
      <c r="C25" s="21" t="s">
        <v>19</v>
      </c>
      <c r="D25" s="2" t="s">
        <v>20</v>
      </c>
      <c r="E25" s="23" t="s">
        <v>108</v>
      </c>
      <c r="F25" s="44" t="e">
        <f>Table1321344[[#This Row],[AT]]-A_BackendPGCompil_March2025!E25</f>
        <v>#REF!</v>
      </c>
      <c r="G25" s="44" t="e">
        <f>Table1321344[[#This Row],[BE]]-Table13[[#This Row],[BE]]</f>
        <v>#REF!</v>
      </c>
      <c r="H25" s="44" t="e">
        <f>Table1321344[[#This Row],[BG]]-Table13[[#This Row],[BG]]</f>
        <v>#REF!</v>
      </c>
      <c r="I25" s="44" t="e">
        <f>Table1321344[[#This Row],[CY]]-Table13[[#This Row],[CY]]</f>
        <v>#REF!</v>
      </c>
      <c r="J25" s="44" t="e">
        <f>Table1321344[[#This Row],[CZ]]-Table13[[#This Row],[CZ]]</f>
        <v>#REF!</v>
      </c>
      <c r="K25" s="44" t="e">
        <f>Table1321344[[#This Row],[DE]]-Table13[[#This Row],[DE]]</f>
        <v>#REF!</v>
      </c>
      <c r="L25" s="44" t="e">
        <f>Table1321344[[#This Row],[DK]]-Table13[[#This Row],[DK]]</f>
        <v>#REF!</v>
      </c>
      <c r="M25" s="44" t="e">
        <f>Table1321344[[#This Row],[EE]]-Table13[[#This Row],[EE]]</f>
        <v>#REF!</v>
      </c>
      <c r="N25" s="44" t="e">
        <f>Table1321344[[#This Row],[EL]]-Table13[[#This Row],[EL]]</f>
        <v>#REF!</v>
      </c>
      <c r="O25" s="44">
        <f>Table1321344[[#This Row],[ES]]-Table13[[#This Row],[ES]]</f>
        <v>8</v>
      </c>
      <c r="P25" s="44" t="e">
        <f>Table1321344[[#This Row],[FI]]-Table13[[#This Row],[FI]]</f>
        <v>#REF!</v>
      </c>
      <c r="Q25" s="44" t="e">
        <f>Table1321344[[#This Row],[FR]]-Table13[[#This Row],[FR]]</f>
        <v>#REF!</v>
      </c>
      <c r="R25" s="44" t="e">
        <f>Table1321344[[#This Row],[HR ]]-Table13[[#This Row],[HR ]]</f>
        <v>#REF!</v>
      </c>
      <c r="S25" s="44" t="e">
        <f>Table1321344[[#This Row],[HU]]-Table13[[#This Row],[HU]]</f>
        <v>#REF!</v>
      </c>
      <c r="T25" s="44" t="e">
        <f>Table1321344[[#This Row],[IE]]-Table13[[#This Row],[IE]]</f>
        <v>#REF!</v>
      </c>
      <c r="U25" s="44" t="e">
        <f>Table1321344[[#This Row],[IS]]-Table13[[#This Row],[IS]]</f>
        <v>#REF!</v>
      </c>
      <c r="V25" s="44" t="e">
        <f>Table1321344[[#This Row],[IT]]-Table13[[#This Row],[IT]]</f>
        <v>#REF!</v>
      </c>
      <c r="W25" s="44" t="e">
        <f>Table1321344[[#This Row],[LT]]-Table13[[#This Row],[LT]]</f>
        <v>#REF!</v>
      </c>
      <c r="X25" s="44" t="e">
        <f>Table1321344[[#This Row],[LU]]-Table13[[#This Row],[LU]]</f>
        <v>#REF!</v>
      </c>
      <c r="Y25" s="44" t="e">
        <f>Table1321344[[#This Row],[LV]]-Table13[[#This Row],[LV]]</f>
        <v>#REF!</v>
      </c>
      <c r="Z25" s="44" t="e">
        <f>Table1321344[[#This Row],[MT]]-Table13[[#This Row],[MT]]</f>
        <v>#REF!</v>
      </c>
      <c r="AA25" s="44" t="e">
        <f>Table1321344[[#This Row],[NL]]-Table13[[#This Row],[NL]]</f>
        <v>#REF!</v>
      </c>
      <c r="AB25" s="44" t="e">
        <f>Table1321344[[#This Row],[NO]]-Table13[[#This Row],[NO]]</f>
        <v>#REF!</v>
      </c>
      <c r="AC25" s="44" t="e">
        <f>Table1321344[[#This Row],[PL]]-Table13[[#This Row],[PL]]</f>
        <v>#REF!</v>
      </c>
      <c r="AD25" s="44" t="e">
        <f>Table1321344[[#This Row],[PT]]-Table13[[#This Row],[PT]]</f>
        <v>#REF!</v>
      </c>
      <c r="AE25" s="44" t="e">
        <f>Table1321344[[#This Row],[RO]]-Table13[[#This Row],[RO]]</f>
        <v>#REF!</v>
      </c>
      <c r="AF25" s="44" t="e">
        <f>Table1321344[[#This Row],[SE]]-Table13[[#This Row],[SE]]</f>
        <v>#REF!</v>
      </c>
      <c r="AG25" s="44" t="e">
        <f>Table1321344[[#This Row],[SI]]-Table13[[#This Row],[SI]]</f>
        <v>#REF!</v>
      </c>
      <c r="AH25" s="44" t="e">
        <f>Table1321344[[#This Row],[SK]]-Table13[[#This Row],[SK]]</f>
        <v>#REF!</v>
      </c>
      <c r="AI25" s="44" t="e">
        <f>Table1321344[[#This Row],[GB-NIR]]-Table13[[#This Row],[GBNIR]]</f>
        <v>#REF!</v>
      </c>
      <c r="AJ25" s="44">
        <f>Table1321344[[#This Row],[-]]-Table13[[#This Row],[-]]</f>
        <v>0</v>
      </c>
      <c r="AK25" s="44" t="e">
        <f t="shared" si="0"/>
        <v>#REF!</v>
      </c>
    </row>
    <row r="26" spans="3:39">
      <c r="C26" s="173"/>
      <c r="D26" s="2" t="s">
        <v>128</v>
      </c>
      <c r="E26" s="23" t="s">
        <v>111</v>
      </c>
      <c r="F26" s="44" t="e">
        <f>Table1321344[[#This Row],[AT]]-A_BackendPGCompil_March2025!E26</f>
        <v>#REF!</v>
      </c>
      <c r="G26" s="44" t="e">
        <f>Table1321344[[#This Row],[BE]]-Table13[[#This Row],[BE]]</f>
        <v>#REF!</v>
      </c>
      <c r="H26" s="44" t="e">
        <f>Table1321344[[#This Row],[BG]]-Table13[[#This Row],[BG]]</f>
        <v>#REF!</v>
      </c>
      <c r="I26" s="44" t="e">
        <f>Table1321344[[#This Row],[CY]]-Table13[[#This Row],[CY]]</f>
        <v>#REF!</v>
      </c>
      <c r="J26" s="44" t="e">
        <f>Table1321344[[#This Row],[CZ]]-Table13[[#This Row],[CZ]]</f>
        <v>#REF!</v>
      </c>
      <c r="K26" s="44" t="e">
        <f>Table1321344[[#This Row],[DE]]-Table13[[#This Row],[DE]]</f>
        <v>#REF!</v>
      </c>
      <c r="L26" s="44" t="e">
        <f>Table1321344[[#This Row],[DK]]-Table13[[#This Row],[DK]]</f>
        <v>#REF!</v>
      </c>
      <c r="M26" s="44" t="e">
        <f>Table1321344[[#This Row],[EE]]-Table13[[#This Row],[EE]]</f>
        <v>#REF!</v>
      </c>
      <c r="N26" s="44" t="e">
        <f>Table1321344[[#This Row],[EL]]-Table13[[#This Row],[EL]]</f>
        <v>#REF!</v>
      </c>
      <c r="O26" s="44">
        <f>Table1321344[[#This Row],[ES]]-Table13[[#This Row],[ES]]</f>
        <v>3</v>
      </c>
      <c r="P26" s="44" t="e">
        <f>Table1321344[[#This Row],[FI]]-Table13[[#This Row],[FI]]</f>
        <v>#REF!</v>
      </c>
      <c r="Q26" s="44" t="e">
        <f>Table1321344[[#This Row],[FR]]-Table13[[#This Row],[FR]]</f>
        <v>#REF!</v>
      </c>
      <c r="R26" s="44" t="e">
        <f>Table1321344[[#This Row],[HR ]]-Table13[[#This Row],[HR ]]</f>
        <v>#REF!</v>
      </c>
      <c r="S26" s="44" t="e">
        <f>Table1321344[[#This Row],[HU]]-Table13[[#This Row],[HU]]</f>
        <v>#REF!</v>
      </c>
      <c r="T26" s="44" t="e">
        <f>Table1321344[[#This Row],[IE]]-Table13[[#This Row],[IE]]</f>
        <v>#REF!</v>
      </c>
      <c r="U26" s="44" t="e">
        <f>Table1321344[[#This Row],[IS]]-Table13[[#This Row],[IS]]</f>
        <v>#REF!</v>
      </c>
      <c r="V26" s="44" t="e">
        <f>Table1321344[[#This Row],[IT]]-Table13[[#This Row],[IT]]</f>
        <v>#REF!</v>
      </c>
      <c r="W26" s="44" t="e">
        <f>Table1321344[[#This Row],[LT]]-Table13[[#This Row],[LT]]</f>
        <v>#REF!</v>
      </c>
      <c r="X26" s="44" t="e">
        <f>Table1321344[[#This Row],[LU]]-Table13[[#This Row],[LU]]</f>
        <v>#REF!</v>
      </c>
      <c r="Y26" s="44" t="e">
        <f>Table1321344[[#This Row],[LV]]-Table13[[#This Row],[LV]]</f>
        <v>#REF!</v>
      </c>
      <c r="Z26" s="44" t="e">
        <f>Table1321344[[#This Row],[MT]]-Table13[[#This Row],[MT]]</f>
        <v>#REF!</v>
      </c>
      <c r="AA26" s="44" t="e">
        <f>Table1321344[[#This Row],[NL]]-Table13[[#This Row],[NL]]</f>
        <v>#REF!</v>
      </c>
      <c r="AB26" s="44" t="e">
        <f>Table1321344[[#This Row],[NO]]-Table13[[#This Row],[NO]]</f>
        <v>#REF!</v>
      </c>
      <c r="AC26" s="44" t="e">
        <f>Table1321344[[#This Row],[PL]]-Table13[[#This Row],[PL]]</f>
        <v>#REF!</v>
      </c>
      <c r="AD26" s="44" t="e">
        <f>Table1321344[[#This Row],[PT]]-Table13[[#This Row],[PT]]</f>
        <v>#REF!</v>
      </c>
      <c r="AE26" s="44" t="e">
        <f>Table1321344[[#This Row],[RO]]-Table13[[#This Row],[RO]]</f>
        <v>#REF!</v>
      </c>
      <c r="AF26" s="44" t="e">
        <f>Table1321344[[#This Row],[SE]]-Table13[[#This Row],[SE]]</f>
        <v>#REF!</v>
      </c>
      <c r="AG26" s="44" t="e">
        <f>Table1321344[[#This Row],[SI]]-Table13[[#This Row],[SI]]</f>
        <v>#REF!</v>
      </c>
      <c r="AH26" s="44" t="e">
        <f>Table1321344[[#This Row],[SK]]-Table13[[#This Row],[SK]]</f>
        <v>#REF!</v>
      </c>
      <c r="AI26" s="44" t="e">
        <f>Table1321344[[#This Row],[GB-NIR]]-Table13[[#This Row],[GBNIR]]</f>
        <v>#REF!</v>
      </c>
      <c r="AJ26" s="44">
        <f>Table1321344[[#This Row],[-]]-Table13[[#This Row],[-]]</f>
        <v>0</v>
      </c>
      <c r="AK26" s="44" t="e">
        <f t="shared" si="0"/>
        <v>#REF!</v>
      </c>
      <c r="AL26" s="1"/>
    </row>
    <row r="27" spans="3:39" ht="28.35" customHeight="1">
      <c r="C27" s="173"/>
      <c r="D27" s="2" t="s">
        <v>129</v>
      </c>
      <c r="E27" s="23" t="s">
        <v>112</v>
      </c>
      <c r="F27" s="44" t="e">
        <f>Table1321344[[#This Row],[AT]]-A_BackendPGCompil_March2025!E27</f>
        <v>#REF!</v>
      </c>
      <c r="G27" s="44" t="e">
        <f>Table1321344[[#This Row],[BE]]-Table13[[#This Row],[BE]]</f>
        <v>#REF!</v>
      </c>
      <c r="H27" s="44" t="e">
        <f>Table1321344[[#This Row],[BG]]-Table13[[#This Row],[BG]]</f>
        <v>#REF!</v>
      </c>
      <c r="I27" s="44" t="e">
        <f>Table1321344[[#This Row],[CY]]-Table13[[#This Row],[CY]]</f>
        <v>#REF!</v>
      </c>
      <c r="J27" s="44" t="e">
        <f>Table1321344[[#This Row],[CZ]]-Table13[[#This Row],[CZ]]</f>
        <v>#REF!</v>
      </c>
      <c r="K27" s="44" t="e">
        <f>Table1321344[[#This Row],[DE]]-Table13[[#This Row],[DE]]</f>
        <v>#REF!</v>
      </c>
      <c r="L27" s="44" t="e">
        <f>Table1321344[[#This Row],[DK]]-Table13[[#This Row],[DK]]</f>
        <v>#REF!</v>
      </c>
      <c r="M27" s="44" t="e">
        <f>Table1321344[[#This Row],[EE]]-Table13[[#This Row],[EE]]</f>
        <v>#REF!</v>
      </c>
      <c r="N27" s="44" t="e">
        <f>Table1321344[[#This Row],[EL]]-Table13[[#This Row],[EL]]</f>
        <v>#REF!</v>
      </c>
      <c r="O27" s="44">
        <f>Table1321344[[#This Row],[ES]]-Table13[[#This Row],[ES]]</f>
        <v>21</v>
      </c>
      <c r="P27" s="44" t="e">
        <f>Table1321344[[#This Row],[FI]]-Table13[[#This Row],[FI]]</f>
        <v>#REF!</v>
      </c>
      <c r="Q27" s="44" t="e">
        <f>Table1321344[[#This Row],[FR]]-Table13[[#This Row],[FR]]</f>
        <v>#REF!</v>
      </c>
      <c r="R27" s="44" t="e">
        <f>Table1321344[[#This Row],[HR ]]-Table13[[#This Row],[HR ]]</f>
        <v>#REF!</v>
      </c>
      <c r="S27" s="44" t="e">
        <f>Table1321344[[#This Row],[HU]]-Table13[[#This Row],[HU]]</f>
        <v>#REF!</v>
      </c>
      <c r="T27" s="44" t="e">
        <f>Table1321344[[#This Row],[IE]]-Table13[[#This Row],[IE]]</f>
        <v>#REF!</v>
      </c>
      <c r="U27" s="44" t="e">
        <f>Table1321344[[#This Row],[IS]]-Table13[[#This Row],[IS]]</f>
        <v>#REF!</v>
      </c>
      <c r="V27" s="44" t="e">
        <f>Table1321344[[#This Row],[IT]]-Table13[[#This Row],[IT]]</f>
        <v>#REF!</v>
      </c>
      <c r="W27" s="44" t="e">
        <f>Table1321344[[#This Row],[LT]]-Table13[[#This Row],[LT]]</f>
        <v>#REF!</v>
      </c>
      <c r="X27" s="44" t="e">
        <f>Table1321344[[#This Row],[LU]]-Table13[[#This Row],[LU]]</f>
        <v>#REF!</v>
      </c>
      <c r="Y27" s="44" t="e">
        <f>Table1321344[[#This Row],[LV]]-Table13[[#This Row],[LV]]</f>
        <v>#REF!</v>
      </c>
      <c r="Z27" s="44" t="e">
        <f>Table1321344[[#This Row],[MT]]-Table13[[#This Row],[MT]]</f>
        <v>#REF!</v>
      </c>
      <c r="AA27" s="44" t="e">
        <f>Table1321344[[#This Row],[NL]]-Table13[[#This Row],[NL]]</f>
        <v>#REF!</v>
      </c>
      <c r="AB27" s="44" t="e">
        <f>Table1321344[[#This Row],[NO]]-Table13[[#This Row],[NO]]</f>
        <v>#REF!</v>
      </c>
      <c r="AC27" s="44" t="e">
        <f>Table1321344[[#This Row],[PL]]-Table13[[#This Row],[PL]]</f>
        <v>#REF!</v>
      </c>
      <c r="AD27" s="44" t="e">
        <f>Table1321344[[#This Row],[PT]]-Table13[[#This Row],[PT]]</f>
        <v>#REF!</v>
      </c>
      <c r="AE27" s="44" t="e">
        <f>Table1321344[[#This Row],[RO]]-Table13[[#This Row],[RO]]</f>
        <v>#REF!</v>
      </c>
      <c r="AF27" s="44" t="e">
        <f>Table1321344[[#This Row],[SE]]-Table13[[#This Row],[SE]]</f>
        <v>#REF!</v>
      </c>
      <c r="AG27" s="44" t="e">
        <f>Table1321344[[#This Row],[SI]]-Table13[[#This Row],[SI]]</f>
        <v>#REF!</v>
      </c>
      <c r="AH27" s="44" t="e">
        <f>Table1321344[[#This Row],[SK]]-Table13[[#This Row],[SK]]</f>
        <v>#REF!</v>
      </c>
      <c r="AI27" s="44" t="e">
        <f>Table1321344[[#This Row],[GB-NIR]]-Table13[[#This Row],[GBNIR]]</f>
        <v>#REF!</v>
      </c>
      <c r="AJ27" s="44">
        <f>Table1321344[[#This Row],[-]]-Table13[[#This Row],[-]]</f>
        <v>0</v>
      </c>
      <c r="AK27" s="44" t="e">
        <f t="shared" si="0"/>
        <v>#REF!</v>
      </c>
    </row>
    <row r="28" spans="3:39" ht="28.35" customHeight="1" thickBot="1">
      <c r="C28" s="172"/>
      <c r="D28" s="2" t="s">
        <v>131</v>
      </c>
      <c r="E28" s="23" t="s">
        <v>132</v>
      </c>
      <c r="F28" s="44" t="e">
        <f>Table1321344[[#This Row],[AT]]-A_BackendPGCompil_March2025!E28</f>
        <v>#REF!</v>
      </c>
      <c r="G28" s="44" t="e">
        <f>Table1321344[[#This Row],[BE]]-Table13[[#This Row],[BE]]</f>
        <v>#REF!</v>
      </c>
      <c r="H28" s="44" t="e">
        <f>Table1321344[[#This Row],[BG]]-Table13[[#This Row],[BG]]</f>
        <v>#REF!</v>
      </c>
      <c r="I28" s="44" t="e">
        <f>Table1321344[[#This Row],[CY]]-Table13[[#This Row],[CY]]</f>
        <v>#REF!</v>
      </c>
      <c r="J28" s="44" t="e">
        <f>Table1321344[[#This Row],[CZ]]-Table13[[#This Row],[CZ]]</f>
        <v>#REF!</v>
      </c>
      <c r="K28" s="44" t="e">
        <f>Table1321344[[#This Row],[DE]]-Table13[[#This Row],[DE]]</f>
        <v>#REF!</v>
      </c>
      <c r="L28" s="44" t="e">
        <f>Table1321344[[#This Row],[DK]]-Table13[[#This Row],[DK]]</f>
        <v>#REF!</v>
      </c>
      <c r="M28" s="44" t="e">
        <f>Table1321344[[#This Row],[EE]]-Table13[[#This Row],[EE]]</f>
        <v>#REF!</v>
      </c>
      <c r="N28" s="44" t="e">
        <f>Table1321344[[#This Row],[EL]]-Table13[[#This Row],[EL]]</f>
        <v>#REF!</v>
      </c>
      <c r="O28" s="44">
        <f>Table1321344[[#This Row],[ES]]-Table13[[#This Row],[ES]]</f>
        <v>0</v>
      </c>
      <c r="P28" s="44" t="e">
        <f>Table1321344[[#This Row],[FI]]-Table13[[#This Row],[FI]]</f>
        <v>#REF!</v>
      </c>
      <c r="Q28" s="44" t="e">
        <f>Table1321344[[#This Row],[FR]]-Table13[[#This Row],[FR]]</f>
        <v>#REF!</v>
      </c>
      <c r="R28" s="44" t="e">
        <f>Table1321344[[#This Row],[HR ]]-Table13[[#This Row],[HR ]]</f>
        <v>#REF!</v>
      </c>
      <c r="S28" s="44" t="e">
        <f>Table1321344[[#This Row],[HU]]-Table13[[#This Row],[HU]]</f>
        <v>#REF!</v>
      </c>
      <c r="T28" s="44" t="e">
        <f>Table1321344[[#This Row],[IE]]-Table13[[#This Row],[IE]]</f>
        <v>#REF!</v>
      </c>
      <c r="U28" s="44" t="e">
        <f>Table1321344[[#This Row],[IS]]-Table13[[#This Row],[IS]]</f>
        <v>#REF!</v>
      </c>
      <c r="V28" s="44" t="e">
        <f>Table1321344[[#This Row],[IT]]-Table13[[#This Row],[IT]]</f>
        <v>#REF!</v>
      </c>
      <c r="W28" s="44" t="e">
        <f>Table1321344[[#This Row],[LT]]-Table13[[#This Row],[LT]]</f>
        <v>#REF!</v>
      </c>
      <c r="X28" s="44" t="e">
        <f>Table1321344[[#This Row],[LU]]-Table13[[#This Row],[LU]]</f>
        <v>#REF!</v>
      </c>
      <c r="Y28" s="44" t="e">
        <f>Table1321344[[#This Row],[LV]]-Table13[[#This Row],[LV]]</f>
        <v>#REF!</v>
      </c>
      <c r="Z28" s="44" t="e">
        <f>Table1321344[[#This Row],[MT]]-Table13[[#This Row],[MT]]</f>
        <v>#REF!</v>
      </c>
      <c r="AA28" s="44" t="e">
        <f>Table1321344[[#This Row],[NL]]-Table13[[#This Row],[NL]]</f>
        <v>#REF!</v>
      </c>
      <c r="AB28" s="44" t="e">
        <f>Table1321344[[#This Row],[NO]]-Table13[[#This Row],[NO]]</f>
        <v>#REF!</v>
      </c>
      <c r="AC28" s="44" t="e">
        <f>Table1321344[[#This Row],[PL]]-Table13[[#This Row],[PL]]</f>
        <v>#REF!</v>
      </c>
      <c r="AD28" s="44" t="e">
        <f>Table1321344[[#This Row],[PT]]-Table13[[#This Row],[PT]]</f>
        <v>#REF!</v>
      </c>
      <c r="AE28" s="44" t="e">
        <f>Table1321344[[#This Row],[RO]]-Table13[[#This Row],[RO]]</f>
        <v>#REF!</v>
      </c>
      <c r="AF28" s="44" t="e">
        <f>Table1321344[[#This Row],[SE]]-Table13[[#This Row],[SE]]</f>
        <v>#REF!</v>
      </c>
      <c r="AG28" s="44" t="e">
        <f>Table1321344[[#This Row],[SI]]-Table13[[#This Row],[SI]]</f>
        <v>#REF!</v>
      </c>
      <c r="AH28" s="44" t="e">
        <f>Table1321344[[#This Row],[SK]]-Table13[[#This Row],[SK]]</f>
        <v>#REF!</v>
      </c>
      <c r="AI28" s="44" t="e">
        <f>Table1321344[[#This Row],[GB-NIR]]-Table13[[#This Row],[GBNIR]]</f>
        <v>#REF!</v>
      </c>
      <c r="AJ28" s="44">
        <f>Table1321344[[#This Row],[-]]-Table13[[#This Row],[-]]</f>
        <v>0</v>
      </c>
      <c r="AK28" s="44" t="e">
        <f t="shared" si="0"/>
        <v>#REF!</v>
      </c>
    </row>
    <row r="29" spans="3:39" ht="28.35" customHeight="1" thickTop="1" thickBot="1">
      <c r="C29" s="21" t="s">
        <v>27</v>
      </c>
      <c r="D29" s="2" t="s">
        <v>28</v>
      </c>
      <c r="E29" s="23" t="s">
        <v>113</v>
      </c>
      <c r="F29" s="44" t="e">
        <f>Table1321344[[#This Row],[AT]]-A_BackendPGCompil_March2025!E29</f>
        <v>#REF!</v>
      </c>
      <c r="G29" s="44" t="e">
        <f>Table1321344[[#This Row],[BE]]-Table13[[#This Row],[BE]]</f>
        <v>#REF!</v>
      </c>
      <c r="H29" s="44" t="e">
        <f>Table1321344[[#This Row],[BG]]-Table13[[#This Row],[BG]]</f>
        <v>#REF!</v>
      </c>
      <c r="I29" s="44" t="e">
        <f>Table1321344[[#This Row],[CY]]-Table13[[#This Row],[CY]]</f>
        <v>#REF!</v>
      </c>
      <c r="J29" s="44" t="e">
        <f>Table1321344[[#This Row],[CZ]]-Table13[[#This Row],[CZ]]</f>
        <v>#REF!</v>
      </c>
      <c r="K29" s="44" t="e">
        <f>Table1321344[[#This Row],[DE]]-Table13[[#This Row],[DE]]</f>
        <v>#REF!</v>
      </c>
      <c r="L29" s="44" t="e">
        <f>Table1321344[[#This Row],[DK]]-Table13[[#This Row],[DK]]</f>
        <v>#REF!</v>
      </c>
      <c r="M29" s="44" t="e">
        <f>Table1321344[[#This Row],[EE]]-Table13[[#This Row],[EE]]</f>
        <v>#REF!</v>
      </c>
      <c r="N29" s="44" t="e">
        <f>Table1321344[[#This Row],[EL]]-Table13[[#This Row],[EL]]</f>
        <v>#REF!</v>
      </c>
      <c r="O29" s="44">
        <f>Table1321344[[#This Row],[ES]]-Table13[[#This Row],[ES]]</f>
        <v>58</v>
      </c>
      <c r="P29" s="44" t="e">
        <f>Table1321344[[#This Row],[FI]]-Table13[[#This Row],[FI]]</f>
        <v>#REF!</v>
      </c>
      <c r="Q29" s="44" t="e">
        <f>Table1321344[[#This Row],[FR]]-Table13[[#This Row],[FR]]</f>
        <v>#REF!</v>
      </c>
      <c r="R29" s="44" t="e">
        <f>Table1321344[[#This Row],[HR ]]-Table13[[#This Row],[HR ]]</f>
        <v>#REF!</v>
      </c>
      <c r="S29" s="44" t="e">
        <f>Table1321344[[#This Row],[HU]]-Table13[[#This Row],[HU]]</f>
        <v>#REF!</v>
      </c>
      <c r="T29" s="44" t="e">
        <f>Table1321344[[#This Row],[IE]]-Table13[[#This Row],[IE]]</f>
        <v>#REF!</v>
      </c>
      <c r="U29" s="44" t="e">
        <f>Table1321344[[#This Row],[IS]]-Table13[[#This Row],[IS]]</f>
        <v>#REF!</v>
      </c>
      <c r="V29" s="44" t="e">
        <f>Table1321344[[#This Row],[IT]]-Table13[[#This Row],[IT]]</f>
        <v>#REF!</v>
      </c>
      <c r="W29" s="44" t="e">
        <f>Table1321344[[#This Row],[LT]]-Table13[[#This Row],[LT]]</f>
        <v>#REF!</v>
      </c>
      <c r="X29" s="44" t="e">
        <f>Table1321344[[#This Row],[LU]]-Table13[[#This Row],[LU]]</f>
        <v>#REF!</v>
      </c>
      <c r="Y29" s="44" t="e">
        <f>Table1321344[[#This Row],[LV]]-Table13[[#This Row],[LV]]</f>
        <v>#REF!</v>
      </c>
      <c r="Z29" s="44" t="e">
        <f>Table1321344[[#This Row],[MT]]-Table13[[#This Row],[MT]]</f>
        <v>#REF!</v>
      </c>
      <c r="AA29" s="44" t="e">
        <f>Table1321344[[#This Row],[NL]]-Table13[[#This Row],[NL]]</f>
        <v>#REF!</v>
      </c>
      <c r="AB29" s="44" t="e">
        <f>Table1321344[[#This Row],[NO]]-Table13[[#This Row],[NO]]</f>
        <v>#REF!</v>
      </c>
      <c r="AC29" s="44" t="e">
        <f>Table1321344[[#This Row],[PL]]-Table13[[#This Row],[PL]]</f>
        <v>#REF!</v>
      </c>
      <c r="AD29" s="44" t="e">
        <f>Table1321344[[#This Row],[PT]]-Table13[[#This Row],[PT]]</f>
        <v>#REF!</v>
      </c>
      <c r="AE29" s="44" t="e">
        <f>Table1321344[[#This Row],[RO]]-Table13[[#This Row],[RO]]</f>
        <v>#REF!</v>
      </c>
      <c r="AF29" s="44" t="e">
        <f>Table1321344[[#This Row],[SE]]-Table13[[#This Row],[SE]]</f>
        <v>#REF!</v>
      </c>
      <c r="AG29" s="44" t="e">
        <f>Table1321344[[#This Row],[SI]]-Table13[[#This Row],[SI]]</f>
        <v>#REF!</v>
      </c>
      <c r="AH29" s="44" t="e">
        <f>Table1321344[[#This Row],[SK]]-Table13[[#This Row],[SK]]</f>
        <v>#REF!</v>
      </c>
      <c r="AI29" s="44" t="e">
        <f>Table1321344[[#This Row],[GB-NIR]]-Table13[[#This Row],[GBNIR]]</f>
        <v>#REF!</v>
      </c>
      <c r="AJ29" s="44">
        <f>Table1321344[[#This Row],[-]]-Table13[[#This Row],[-]]</f>
        <v>0</v>
      </c>
      <c r="AK29" s="44" t="e">
        <f t="shared" si="0"/>
        <v>#REF!</v>
      </c>
    </row>
    <row r="30" spans="3:39" ht="16.5" thickTop="1" thickBot="1">
      <c r="C30" s="11"/>
      <c r="D30" s="12" t="s">
        <v>62</v>
      </c>
      <c r="E30" s="12"/>
      <c r="F30" s="71" t="e">
        <f t="shared" ref="F30:AK30" si="1">SUM(F4:F29)</f>
        <v>#REF!</v>
      </c>
      <c r="G30" s="71" t="e">
        <f t="shared" si="1"/>
        <v>#REF!</v>
      </c>
      <c r="H30" s="71" t="e">
        <f t="shared" si="1"/>
        <v>#REF!</v>
      </c>
      <c r="I30" s="71" t="e">
        <f t="shared" si="1"/>
        <v>#REF!</v>
      </c>
      <c r="J30" s="71" t="e">
        <f t="shared" si="1"/>
        <v>#REF!</v>
      </c>
      <c r="K30" s="71" t="e">
        <f t="shared" si="1"/>
        <v>#REF!</v>
      </c>
      <c r="L30" s="71" t="e">
        <f t="shared" si="1"/>
        <v>#REF!</v>
      </c>
      <c r="M30" s="71" t="e">
        <f t="shared" si="1"/>
        <v>#REF!</v>
      </c>
      <c r="N30" s="71" t="e">
        <f t="shared" si="1"/>
        <v>#REF!</v>
      </c>
      <c r="O30" s="71">
        <f t="shared" si="1"/>
        <v>279</v>
      </c>
      <c r="P30" s="71" t="e">
        <f t="shared" si="1"/>
        <v>#REF!</v>
      </c>
      <c r="Q30" s="71" t="e">
        <f t="shared" si="1"/>
        <v>#REF!</v>
      </c>
      <c r="R30" s="71" t="e">
        <f t="shared" si="1"/>
        <v>#REF!</v>
      </c>
      <c r="S30" s="71" t="e">
        <f t="shared" si="1"/>
        <v>#REF!</v>
      </c>
      <c r="T30" s="71" t="e">
        <f t="shared" si="1"/>
        <v>#REF!</v>
      </c>
      <c r="U30" s="71" t="e">
        <f t="shared" si="1"/>
        <v>#REF!</v>
      </c>
      <c r="V30" s="71" t="e">
        <f t="shared" si="1"/>
        <v>#REF!</v>
      </c>
      <c r="W30" s="71" t="e">
        <f t="shared" si="1"/>
        <v>#REF!</v>
      </c>
      <c r="X30" s="71" t="e">
        <f t="shared" si="1"/>
        <v>#REF!</v>
      </c>
      <c r="Y30" s="71" t="e">
        <f t="shared" si="1"/>
        <v>#REF!</v>
      </c>
      <c r="Z30" s="71" t="e">
        <f t="shared" si="1"/>
        <v>#REF!</v>
      </c>
      <c r="AA30" s="71" t="e">
        <f t="shared" si="1"/>
        <v>#REF!</v>
      </c>
      <c r="AB30" s="71" t="e">
        <f t="shared" si="1"/>
        <v>#REF!</v>
      </c>
      <c r="AC30" s="71" t="e">
        <f t="shared" si="1"/>
        <v>#REF!</v>
      </c>
      <c r="AD30" s="71" t="e">
        <f t="shared" si="1"/>
        <v>#REF!</v>
      </c>
      <c r="AE30" s="71" t="e">
        <f t="shared" si="1"/>
        <v>#REF!</v>
      </c>
      <c r="AF30" s="71" t="e">
        <f t="shared" si="1"/>
        <v>#REF!</v>
      </c>
      <c r="AG30" s="71" t="e">
        <f t="shared" si="1"/>
        <v>#REF!</v>
      </c>
      <c r="AH30" s="71" t="e">
        <f t="shared" si="1"/>
        <v>#REF!</v>
      </c>
      <c r="AI30" s="71" t="e">
        <f t="shared" si="1"/>
        <v>#REF!</v>
      </c>
      <c r="AJ30" s="71">
        <f t="shared" si="1"/>
        <v>0</v>
      </c>
      <c r="AK30" s="71" t="e">
        <f t="shared" si="1"/>
        <v>#REF!</v>
      </c>
    </row>
    <row r="31" spans="3:39" ht="15.75" thickTop="1">
      <c r="K31" s="90"/>
      <c r="L31" s="90"/>
      <c r="M31" s="90"/>
      <c r="N31" s="90"/>
      <c r="O31" s="90"/>
      <c r="P31" s="90"/>
      <c r="Q31" s="90"/>
      <c r="R31" s="92"/>
      <c r="AK31" s="16"/>
      <c r="AM31" s="91"/>
    </row>
    <row r="32" spans="3:39" ht="15.75" thickBot="1">
      <c r="AK32" s="16"/>
    </row>
    <row r="33" spans="1:39" ht="16.5" thickTop="1" thickBot="1">
      <c r="C33" s="5" t="s">
        <v>63</v>
      </c>
      <c r="D33" s="6"/>
      <c r="E33" s="6"/>
      <c r="F33" s="7"/>
      <c r="G33" s="7"/>
      <c r="H33" s="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72"/>
      <c r="AM33" s="94"/>
    </row>
    <row r="34" spans="1:39" ht="31.5" thickTop="1" thickBot="1">
      <c r="A34" s="69" t="s">
        <v>164</v>
      </c>
      <c r="C34" s="10"/>
      <c r="D34" s="3"/>
      <c r="E34" s="73"/>
      <c r="F34" s="20" t="s">
        <v>35</v>
      </c>
      <c r="G34" s="20" t="s">
        <v>36</v>
      </c>
      <c r="H34" s="20" t="s">
        <v>37</v>
      </c>
      <c r="I34" s="20" t="s">
        <v>39</v>
      </c>
      <c r="J34" s="20" t="s">
        <v>33</v>
      </c>
      <c r="K34" s="20" t="s">
        <v>44</v>
      </c>
      <c r="L34" s="20" t="s">
        <v>40</v>
      </c>
      <c r="M34" s="20" t="s">
        <v>41</v>
      </c>
      <c r="N34" s="20" t="s">
        <v>135</v>
      </c>
      <c r="O34" s="20" t="s">
        <v>59</v>
      </c>
      <c r="P34" s="20" t="s">
        <v>42</v>
      </c>
      <c r="Q34" s="20" t="s">
        <v>43</v>
      </c>
      <c r="R34" s="20" t="s">
        <v>137</v>
      </c>
      <c r="S34" s="20" t="s">
        <v>45</v>
      </c>
      <c r="T34" s="20" t="s">
        <v>47</v>
      </c>
      <c r="U34" s="20" t="s">
        <v>46</v>
      </c>
      <c r="V34" s="20" t="s">
        <v>48</v>
      </c>
      <c r="W34" s="20" t="s">
        <v>50</v>
      </c>
      <c r="X34" s="20" t="s">
        <v>51</v>
      </c>
      <c r="Y34" s="20" t="s">
        <v>49</v>
      </c>
      <c r="Z34" s="20" t="s">
        <v>52</v>
      </c>
      <c r="AA34" s="20" t="s">
        <v>53</v>
      </c>
      <c r="AB34" s="20" t="s">
        <v>54</v>
      </c>
      <c r="AC34" s="20" t="s">
        <v>121</v>
      </c>
      <c r="AD34" s="20" t="s">
        <v>55</v>
      </c>
      <c r="AE34" s="20" t="s">
        <v>56</v>
      </c>
      <c r="AF34" s="20" t="s">
        <v>60</v>
      </c>
      <c r="AG34" s="20" t="s">
        <v>58</v>
      </c>
      <c r="AH34" s="20" t="s">
        <v>57</v>
      </c>
      <c r="AI34" s="45" t="s">
        <v>136</v>
      </c>
      <c r="AJ34" s="14"/>
      <c r="AK34" s="74" t="s">
        <v>61</v>
      </c>
      <c r="AM34" s="91"/>
    </row>
    <row r="35" spans="1:39" ht="15.75" thickTop="1">
      <c r="A35" s="70"/>
      <c r="C35" s="169" t="s">
        <v>1</v>
      </c>
      <c r="D35" s="76" t="s">
        <v>172</v>
      </c>
      <c r="E35" s="77" t="s">
        <v>92</v>
      </c>
      <c r="F35" s="44" t="e">
        <f>Table14224553[[#This Row],[AT]]-Table14[[#This Row],[AT]]</f>
        <v>#REF!</v>
      </c>
      <c r="G35" s="44" t="e">
        <f>Table14224553[[#This Row],[BE]]-Table14[[#This Row],[BE]]</f>
        <v>#REF!</v>
      </c>
      <c r="H35" s="44" t="e">
        <f>Table14224553[[#This Row],[BG]]-Table14[[#This Row],[BG]]</f>
        <v>#REF!</v>
      </c>
      <c r="I35" s="44" t="e">
        <f>Table14224553[[#This Row],[CY]]-Table14[[#This Row],[CY]]</f>
        <v>#REF!</v>
      </c>
      <c r="J35" s="44" t="e">
        <f>Table14224553[[#This Row],[CZ]]-Table14[[#This Row],[CZ]]</f>
        <v>#REF!</v>
      </c>
      <c r="K35" s="44" t="e">
        <f>Table14224553[[#This Row],[DE]]-Table14[[#This Row],[DE]]</f>
        <v>#REF!</v>
      </c>
      <c r="L35" s="44" t="e">
        <f>Table14224553[[#This Row],[DK]]-Table14[[#This Row],[DK]]</f>
        <v>#REF!</v>
      </c>
      <c r="M35" s="44" t="e">
        <f>Table14224553[[#This Row],[EE]]-Table14[[#This Row],[EE]]</f>
        <v>#REF!</v>
      </c>
      <c r="N35" s="44" t="e">
        <f>Table14224553[[#This Row],[EL]]-Table14[[#This Row],[EL]]</f>
        <v>#REF!</v>
      </c>
      <c r="O35" s="44">
        <f>Table14224553[[#This Row],[ES]]-Table14[[#This Row],[ES]]</f>
        <v>47</v>
      </c>
      <c r="P35" s="44" t="e">
        <f>Table14224553[[#This Row],[FI]]-Table14[[#This Row],[FI]]</f>
        <v>#REF!</v>
      </c>
      <c r="Q35" s="44" t="e">
        <f>Table14224553[[#This Row],[FR]]-Table14[[#This Row],[FR]]</f>
        <v>#REF!</v>
      </c>
      <c r="R35" s="44" t="e">
        <f>Table14224553[[#This Row],[HR ]]-Table14[[#This Row],[HR]]</f>
        <v>#REF!</v>
      </c>
      <c r="S35" s="44" t="e">
        <f>Table14224553[[#This Row],[HU]]-Table14[[#This Row],[HU]]</f>
        <v>#REF!</v>
      </c>
      <c r="T35" s="44" t="e">
        <f>Table14224553[[#This Row],[IE]]-Table14[[#This Row],[IE]]</f>
        <v>#REF!</v>
      </c>
      <c r="U35" s="44" t="e">
        <f>Table14224553[[#This Row],[IS]]-Table14[[#This Row],[IS]]</f>
        <v>#REF!</v>
      </c>
      <c r="V35" s="44" t="e">
        <f>Table14224553[[#This Row],[IT]]-Table14[[#This Row],[IT]]</f>
        <v>#REF!</v>
      </c>
      <c r="W35" s="44" t="e">
        <f>Table14224553[[#This Row],[LT]]-Table14[[#This Row],[LT]]</f>
        <v>#REF!</v>
      </c>
      <c r="X35" s="44" t="e">
        <f>Table14224553[[#This Row],[LU]]-Table14[[#This Row],[LU]]</f>
        <v>#REF!</v>
      </c>
      <c r="Y35" s="44" t="e">
        <f>Table14224553[[#This Row],[LV]]-Table14[[#This Row],[LV]]</f>
        <v>#REF!</v>
      </c>
      <c r="Z35" s="44" t="e">
        <f>Table14224553[[#This Row],[MT]]-Table14[[#This Row],[MT]]</f>
        <v>#REF!</v>
      </c>
      <c r="AA35" s="44" t="e">
        <f>Table14224553[[#This Row],[NL]]-Table14[[#This Row],[NL]]</f>
        <v>#REF!</v>
      </c>
      <c r="AB35" s="44" t="e">
        <f>Table14224553[[#This Row],[NO]]-Table14[[#This Row],[NO]]</f>
        <v>#REF!</v>
      </c>
      <c r="AC35" s="44" t="e">
        <f>Table14224553[[#This Row],[PL]]-Table14[[#This Row],[PL]]</f>
        <v>#REF!</v>
      </c>
      <c r="AD35" s="44" t="e">
        <f>Table14224553[[#This Row],[PT]]-Table14[[#This Row],[PT]]</f>
        <v>#REF!</v>
      </c>
      <c r="AE35" s="44" t="e">
        <f>Table14224553[[#This Row],[RO]]-Table14[[#This Row],[RO]]</f>
        <v>#REF!</v>
      </c>
      <c r="AF35" s="44" t="e">
        <f>Table14224553[[#This Row],[SE]]-Table14[[#This Row],[SE]]</f>
        <v>#REF!</v>
      </c>
      <c r="AG35" s="44" t="e">
        <f>Table14224553[[#This Row],[SI]]-Table14[[#This Row],[SI]]</f>
        <v>#REF!</v>
      </c>
      <c r="AH35" s="44" t="e">
        <f>Table14224553[[#This Row],[SK]]-Table14[[#This Row],[SK]]</f>
        <v>#REF!</v>
      </c>
      <c r="AI35" s="44" t="e">
        <f>Table14224553[[#This Row],[GB-NIR]]-Table14[[#This Row],[GBNIR]]</f>
        <v>#REF!</v>
      </c>
      <c r="AJ35" s="44"/>
      <c r="AK35" s="44" t="e">
        <f>'ECAT Statistics Mar24'!AJ36-A_BackendPGCompil_March2025!AJ35</f>
        <v>#REF!</v>
      </c>
    </row>
    <row r="36" spans="1:39">
      <c r="C36" s="169"/>
      <c r="D36" s="2" t="s">
        <v>228</v>
      </c>
      <c r="E36" s="23" t="s">
        <v>93</v>
      </c>
      <c r="F36" s="44">
        <f>Table14224553[[#This Row],[AT]]-Table14[[#This Row],[AT]]</f>
        <v>0</v>
      </c>
      <c r="G36" s="44">
        <f>Table14224553[[#This Row],[BE]]-Table14[[#This Row],[BE]]</f>
        <v>0</v>
      </c>
      <c r="H36" s="44">
        <f>Table14224553[[#This Row],[BG]]-Table14[[#This Row],[BG]]</f>
        <v>0</v>
      </c>
      <c r="I36" s="44">
        <f>Table14224553[[#This Row],[CY]]-Table14[[#This Row],[CY]]</f>
        <v>0</v>
      </c>
      <c r="J36" s="44">
        <f>Table14224553[[#This Row],[CZ]]-Table14[[#This Row],[CZ]]</f>
        <v>197</v>
      </c>
      <c r="K36" s="44">
        <f>Table14224553[[#This Row],[DE]]-Table14[[#This Row],[DE]]</f>
        <v>19</v>
      </c>
      <c r="L36" s="44">
        <f>Table14224553[[#This Row],[DK]]-Table14[[#This Row],[DK]]</f>
        <v>147</v>
      </c>
      <c r="M36" s="44">
        <f>Table14224553[[#This Row],[EE]]-Table14[[#This Row],[EE]]</f>
        <v>0</v>
      </c>
      <c r="N36" s="44">
        <f>Table14224553[[#This Row],[EL]]-Table14[[#This Row],[EL]]</f>
        <v>0</v>
      </c>
      <c r="O36" s="44">
        <f>Table14224553[[#This Row],[ES]]-Table14[[#This Row],[ES]]</f>
        <v>34</v>
      </c>
      <c r="P36" s="44">
        <f>Table14224553[[#This Row],[FI]]-Table14[[#This Row],[FI]]</f>
        <v>14</v>
      </c>
      <c r="Q36" s="44">
        <f>Table14224553[[#This Row],[FR]]-Table14[[#This Row],[FR]]</f>
        <v>0</v>
      </c>
      <c r="R36" s="44">
        <f>Table14224553[[#This Row],[HR ]]-Table14[[#This Row],[HR]]</f>
        <v>0</v>
      </c>
      <c r="S36" s="44">
        <f>Table14224553[[#This Row],[HU]]-Table14[[#This Row],[HU]]</f>
        <v>0</v>
      </c>
      <c r="T36" s="44">
        <f>Table14224553[[#This Row],[IE]]-Table14[[#This Row],[IE]]</f>
        <v>0</v>
      </c>
      <c r="U36" s="44">
        <f>Table14224553[[#This Row],[IS]]-Table14[[#This Row],[IS]]</f>
        <v>0</v>
      </c>
      <c r="V36" s="44">
        <f>Table14224553[[#This Row],[IT]]-Table14[[#This Row],[IT]]</f>
        <v>48</v>
      </c>
      <c r="W36" s="44">
        <f>Table14224553[[#This Row],[LT]]-Table14[[#This Row],[LT]]</f>
        <v>0</v>
      </c>
      <c r="X36" s="44">
        <f>Table14224553[[#This Row],[LU]]-Table14[[#This Row],[LU]]</f>
        <v>0</v>
      </c>
      <c r="Y36" s="44">
        <f>Table14224553[[#This Row],[LV]]-Table14[[#This Row],[LV]]</f>
        <v>0</v>
      </c>
      <c r="Z36" s="44">
        <f>Table14224553[[#This Row],[MT]]-Table14[[#This Row],[MT]]</f>
        <v>0</v>
      </c>
      <c r="AA36" s="44">
        <f>Table14224553[[#This Row],[NL]]-Table14[[#This Row],[NL]]</f>
        <v>0</v>
      </c>
      <c r="AB36" s="44">
        <f>Table14224553[[#This Row],[NO]]-Table14[[#This Row],[NO]]</f>
        <v>0</v>
      </c>
      <c r="AC36" s="44">
        <f>Table14224553[[#This Row],[PL]]-Table14[[#This Row],[PL]]</f>
        <v>0</v>
      </c>
      <c r="AD36" s="44">
        <f>Table14224553[[#This Row],[PT]]-Table14[[#This Row],[PT]]</f>
        <v>0</v>
      </c>
      <c r="AE36" s="44">
        <f>Table14224553[[#This Row],[RO]]-Table14[[#This Row],[RO]]</f>
        <v>0</v>
      </c>
      <c r="AF36" s="44">
        <f>Table14224553[[#This Row],[SE]]-Table14[[#This Row],[SE]]</f>
        <v>173</v>
      </c>
      <c r="AG36" s="44">
        <f>Table14224553[[#This Row],[SI]]-Table14[[#This Row],[SI]]</f>
        <v>0</v>
      </c>
      <c r="AH36" s="44">
        <f>Table14224553[[#This Row],[SK]]-Table14[[#This Row],[SK]]</f>
        <v>0</v>
      </c>
      <c r="AI36" s="44">
        <f>Table14224553[[#This Row],[GB-NIR]]-Table14[[#This Row],[GBNIR]]</f>
        <v>0</v>
      </c>
      <c r="AJ36" s="44"/>
      <c r="AK36" s="44">
        <f>'ECAT Statistics Mar24'!AJ37-A_BackendPGCompil_March2025!AJ36</f>
        <v>0</v>
      </c>
    </row>
    <row r="37" spans="1:39">
      <c r="C37" s="169"/>
      <c r="D37" s="2" t="s">
        <v>229</v>
      </c>
      <c r="E37" s="108" t="s">
        <v>93</v>
      </c>
      <c r="F37" s="44" t="e">
        <f>Table14224553[[#This Row],[AT]]-Table14[[#This Row],[AT]]</f>
        <v>#REF!</v>
      </c>
      <c r="G37" s="44" t="e">
        <f>Table14224553[[#This Row],[BE]]-Table14[[#This Row],[BE]]</f>
        <v>#REF!</v>
      </c>
      <c r="H37" s="44" t="e">
        <f>Table14224553[[#This Row],[BG]]-Table14[[#This Row],[BG]]</f>
        <v>#REF!</v>
      </c>
      <c r="I37" s="44" t="e">
        <f>Table14224553[[#This Row],[CY]]-Table14[[#This Row],[CY]]</f>
        <v>#REF!</v>
      </c>
      <c r="J37" s="44" t="e">
        <f>Table14224553[[#This Row],[CZ]]-Table14[[#This Row],[CZ]]</f>
        <v>#REF!</v>
      </c>
      <c r="K37" s="44" t="e">
        <f>Table14224553[[#This Row],[DE]]-Table14[[#This Row],[DE]]</f>
        <v>#REF!</v>
      </c>
      <c r="L37" s="44" t="e">
        <f>Table14224553[[#This Row],[DK]]-Table14[[#This Row],[DK]]</f>
        <v>#REF!</v>
      </c>
      <c r="M37" s="44" t="e">
        <f>Table14224553[[#This Row],[EE]]-Table14[[#This Row],[EE]]</f>
        <v>#REF!</v>
      </c>
      <c r="N37" s="44" t="e">
        <f>Table14224553[[#This Row],[EL]]-Table14[[#This Row],[EL]]</f>
        <v>#REF!</v>
      </c>
      <c r="O37" s="44">
        <f>Table14224553[[#This Row],[ES]]-Table14[[#This Row],[ES]]</f>
        <v>0</v>
      </c>
      <c r="P37" s="44" t="e">
        <f>Table14224553[[#This Row],[FI]]-Table14[[#This Row],[FI]]</f>
        <v>#REF!</v>
      </c>
      <c r="Q37" s="44" t="e">
        <f>Table14224553[[#This Row],[FR]]-Table14[[#This Row],[FR]]</f>
        <v>#REF!</v>
      </c>
      <c r="R37" s="44" t="e">
        <f>Table14224553[[#This Row],[HR ]]-Table14[[#This Row],[HR]]</f>
        <v>#REF!</v>
      </c>
      <c r="S37" s="44" t="e">
        <f>Table14224553[[#This Row],[HU]]-Table14[[#This Row],[HU]]</f>
        <v>#REF!</v>
      </c>
      <c r="T37" s="44" t="e">
        <f>Table14224553[[#This Row],[IE]]-Table14[[#This Row],[IE]]</f>
        <v>#REF!</v>
      </c>
      <c r="U37" s="44" t="e">
        <f>Table14224553[[#This Row],[IS]]-Table14[[#This Row],[IS]]</f>
        <v>#REF!</v>
      </c>
      <c r="V37" s="44" t="e">
        <f>Table14224553[[#This Row],[IT]]-Table14[[#This Row],[IT]]</f>
        <v>#REF!</v>
      </c>
      <c r="W37" s="44" t="e">
        <f>Table14224553[[#This Row],[LT]]-Table14[[#This Row],[LT]]</f>
        <v>#REF!</v>
      </c>
      <c r="X37" s="44" t="e">
        <f>Table14224553[[#This Row],[LU]]-Table14[[#This Row],[LU]]</f>
        <v>#REF!</v>
      </c>
      <c r="Y37" s="44" t="e">
        <f>Table14224553[[#This Row],[LV]]-Table14[[#This Row],[LV]]</f>
        <v>#REF!</v>
      </c>
      <c r="Z37" s="44" t="e">
        <f>Table14224553[[#This Row],[MT]]-Table14[[#This Row],[MT]]</f>
        <v>#REF!</v>
      </c>
      <c r="AA37" s="44" t="e">
        <f>Table14224553[[#This Row],[NL]]-Table14[[#This Row],[NL]]</f>
        <v>#REF!</v>
      </c>
      <c r="AB37" s="44" t="e">
        <f>Table14224553[[#This Row],[NO]]-Table14[[#This Row],[NO]]</f>
        <v>#REF!</v>
      </c>
      <c r="AC37" s="44" t="e">
        <f>Table14224553[[#This Row],[PL]]-Table14[[#This Row],[PL]]</f>
        <v>#REF!</v>
      </c>
      <c r="AD37" s="44" t="e">
        <f>Table14224553[[#This Row],[PT]]-Table14[[#This Row],[PT]]</f>
        <v>#REF!</v>
      </c>
      <c r="AE37" s="44" t="e">
        <f>Table14224553[[#This Row],[RO]]-Table14[[#This Row],[RO]]</f>
        <v>#REF!</v>
      </c>
      <c r="AF37" s="44" t="e">
        <f>Table14224553[[#This Row],[SE]]-Table14[[#This Row],[SE]]</f>
        <v>#REF!</v>
      </c>
      <c r="AG37" s="44" t="e">
        <f>Table14224553[[#This Row],[SI]]-Table14[[#This Row],[SI]]</f>
        <v>#REF!</v>
      </c>
      <c r="AH37" s="44" t="e">
        <f>Table14224553[[#This Row],[SK]]-Table14[[#This Row],[SK]]</f>
        <v>#REF!</v>
      </c>
      <c r="AI37" s="44" t="e">
        <f>Table14224553[[#This Row],[GB-NIR]]-Table14[[#This Row],[GBNIR]]</f>
        <v>#REF!</v>
      </c>
      <c r="AJ37" s="44"/>
      <c r="AK37" s="44" t="e">
        <f>'ECAT Statistics Mar24'!AJ38-A_BackendPGCompil_March2025!AJ37</f>
        <v>#REF!</v>
      </c>
    </row>
    <row r="38" spans="1:39">
      <c r="C38" s="169"/>
      <c r="D38" s="107" t="s">
        <v>226</v>
      </c>
      <c r="E38" s="108" t="s">
        <v>227</v>
      </c>
      <c r="F38" s="44" t="e">
        <f>Table14224553[[#This Row],[AT]]-Table14[[#This Row],[AT]]</f>
        <v>#REF!</v>
      </c>
      <c r="G38" s="44" t="e">
        <f>Table14224553[[#This Row],[BE]]-Table14[[#This Row],[BE]]</f>
        <v>#REF!</v>
      </c>
      <c r="H38" s="44" t="e">
        <f>Table14224553[[#This Row],[BG]]-Table14[[#This Row],[BG]]</f>
        <v>#REF!</v>
      </c>
      <c r="I38" s="44" t="e">
        <f>Table14224553[[#This Row],[CY]]-Table14[[#This Row],[CY]]</f>
        <v>#REF!</v>
      </c>
      <c r="J38" s="44" t="e">
        <f>Table14224553[[#This Row],[CZ]]-Table14[[#This Row],[CZ]]</f>
        <v>#REF!</v>
      </c>
      <c r="K38" s="44" t="e">
        <f>Table14224553[[#This Row],[DE]]-Table14[[#This Row],[DE]]</f>
        <v>#REF!</v>
      </c>
      <c r="L38" s="44" t="e">
        <f>Table14224553[[#This Row],[DK]]-Table14[[#This Row],[DK]]</f>
        <v>#REF!</v>
      </c>
      <c r="M38" s="44" t="e">
        <f>Table14224553[[#This Row],[EE]]-Table14[[#This Row],[EE]]</f>
        <v>#REF!</v>
      </c>
      <c r="N38" s="44" t="e">
        <f>Table14224553[[#This Row],[EL]]-Table14[[#This Row],[EL]]</f>
        <v>#REF!</v>
      </c>
      <c r="O38" s="44">
        <f>Table14224553[[#This Row],[ES]]-Table14[[#This Row],[ES]]</f>
        <v>0</v>
      </c>
      <c r="P38" s="44" t="e">
        <f>Table14224553[[#This Row],[FI]]-Table14[[#This Row],[FI]]</f>
        <v>#REF!</v>
      </c>
      <c r="Q38" s="44" t="e">
        <f>Table14224553[[#This Row],[FR]]-Table14[[#This Row],[FR]]</f>
        <v>#REF!</v>
      </c>
      <c r="R38" s="44" t="e">
        <f>Table14224553[[#This Row],[HR ]]-Table14[[#This Row],[HR]]</f>
        <v>#REF!</v>
      </c>
      <c r="S38" s="44" t="e">
        <f>Table14224553[[#This Row],[HU]]-Table14[[#This Row],[HU]]</f>
        <v>#REF!</v>
      </c>
      <c r="T38" s="44" t="e">
        <f>Table14224553[[#This Row],[IE]]-Table14[[#This Row],[IE]]</f>
        <v>#REF!</v>
      </c>
      <c r="U38" s="44" t="e">
        <f>Table14224553[[#This Row],[IS]]-Table14[[#This Row],[IS]]</f>
        <v>#REF!</v>
      </c>
      <c r="V38" s="44" t="e">
        <f>Table14224553[[#This Row],[IT]]-Table14[[#This Row],[IT]]</f>
        <v>#REF!</v>
      </c>
      <c r="W38" s="44" t="e">
        <f>Table14224553[[#This Row],[LT]]-Table14[[#This Row],[LT]]</f>
        <v>#REF!</v>
      </c>
      <c r="X38" s="44" t="e">
        <f>Table14224553[[#This Row],[LU]]-Table14[[#This Row],[LU]]</f>
        <v>#REF!</v>
      </c>
      <c r="Y38" s="44" t="e">
        <f>Table14224553[[#This Row],[LV]]-Table14[[#This Row],[LV]]</f>
        <v>#REF!</v>
      </c>
      <c r="Z38" s="44" t="e">
        <f>Table14224553[[#This Row],[MT]]-Table14[[#This Row],[MT]]</f>
        <v>#REF!</v>
      </c>
      <c r="AA38" s="44" t="e">
        <f>Table14224553[[#This Row],[NL]]-Table14[[#This Row],[NL]]</f>
        <v>#REF!</v>
      </c>
      <c r="AB38" s="44" t="e">
        <f>Table14224553[[#This Row],[NO]]-Table14[[#This Row],[NO]]</f>
        <v>#REF!</v>
      </c>
      <c r="AC38" s="44" t="e">
        <f>Table14224553[[#This Row],[PL]]-Table14[[#This Row],[PL]]</f>
        <v>#REF!</v>
      </c>
      <c r="AD38" s="44" t="e">
        <f>Table14224553[[#This Row],[PT]]-Table14[[#This Row],[PT]]</f>
        <v>#REF!</v>
      </c>
      <c r="AE38" s="44" t="e">
        <f>Table14224553[[#This Row],[RO]]-Table14[[#This Row],[RO]]</f>
        <v>#REF!</v>
      </c>
      <c r="AF38" s="44" t="e">
        <f>Table14224553[[#This Row],[SE]]-Table14[[#This Row],[SE]]</f>
        <v>#REF!</v>
      </c>
      <c r="AG38" s="44" t="e">
        <f>Table14224553[[#This Row],[SI]]-Table14[[#This Row],[SI]]</f>
        <v>#REF!</v>
      </c>
      <c r="AH38" s="44" t="e">
        <f>Table14224553[[#This Row],[SK]]-Table14[[#This Row],[SK]]</f>
        <v>#REF!</v>
      </c>
      <c r="AI38" s="44" t="e">
        <f>Table14224553[[#This Row],[GB-NIR]]-Table14[[#This Row],[GBNIR]]</f>
        <v>#REF!</v>
      </c>
      <c r="AJ38" s="44"/>
      <c r="AK38" s="44" t="e">
        <f>'ECAT Statistics Mar24'!AJ39-A_BackendPGCompil_March2025!AJ38</f>
        <v>#REF!</v>
      </c>
    </row>
    <row r="39" spans="1:39" ht="15.75" thickBot="1">
      <c r="C39" s="170"/>
      <c r="D39" s="2" t="s">
        <v>171</v>
      </c>
      <c r="E39" s="23" t="s">
        <v>170</v>
      </c>
      <c r="F39" s="44" t="e">
        <f>Table14224553[[#This Row],[AT]]-Table14[[#This Row],[AT]]</f>
        <v>#REF!</v>
      </c>
      <c r="G39" s="44" t="e">
        <f>Table14224553[[#This Row],[BE]]-Table14[[#This Row],[BE]]</f>
        <v>#REF!</v>
      </c>
      <c r="H39" s="44" t="e">
        <f>Table14224553[[#This Row],[BG]]-Table14[[#This Row],[BG]]</f>
        <v>#REF!</v>
      </c>
      <c r="I39" s="44" t="e">
        <f>Table14224553[[#This Row],[CY]]-Table14[[#This Row],[CY]]</f>
        <v>#REF!</v>
      </c>
      <c r="J39" s="44" t="e">
        <f>Table14224553[[#This Row],[CZ]]-Table14[[#This Row],[CZ]]</f>
        <v>#REF!</v>
      </c>
      <c r="K39" s="44" t="e">
        <f>Table14224553[[#This Row],[DE]]-Table14[[#This Row],[DE]]</f>
        <v>#REF!</v>
      </c>
      <c r="L39" s="44" t="e">
        <f>Table14224553[[#This Row],[DK]]-Table14[[#This Row],[DK]]</f>
        <v>#REF!</v>
      </c>
      <c r="M39" s="44" t="e">
        <f>Table14224553[[#This Row],[EE]]-Table14[[#This Row],[EE]]</f>
        <v>#REF!</v>
      </c>
      <c r="N39" s="44" t="e">
        <f>Table14224553[[#This Row],[EL]]-Table14[[#This Row],[EL]]</f>
        <v>#REF!</v>
      </c>
      <c r="O39" s="44">
        <f>Table14224553[[#This Row],[ES]]-Table14[[#This Row],[ES]]</f>
        <v>0</v>
      </c>
      <c r="P39" s="44" t="e">
        <f>Table14224553[[#This Row],[FI]]-Table14[[#This Row],[FI]]</f>
        <v>#REF!</v>
      </c>
      <c r="Q39" s="44" t="e">
        <f>Table14224553[[#This Row],[FR]]-Table14[[#This Row],[FR]]</f>
        <v>#REF!</v>
      </c>
      <c r="R39" s="44" t="e">
        <f>Table14224553[[#This Row],[HR ]]-Table14[[#This Row],[HR]]</f>
        <v>#REF!</v>
      </c>
      <c r="S39" s="44" t="e">
        <f>Table14224553[[#This Row],[HU]]-Table14[[#This Row],[HU]]</f>
        <v>#REF!</v>
      </c>
      <c r="T39" s="44" t="e">
        <f>Table14224553[[#This Row],[IE]]-Table14[[#This Row],[IE]]</f>
        <v>#REF!</v>
      </c>
      <c r="U39" s="44" t="e">
        <f>Table14224553[[#This Row],[IS]]-Table14[[#This Row],[IS]]</f>
        <v>#REF!</v>
      </c>
      <c r="V39" s="44" t="e">
        <f>Table14224553[[#This Row],[IT]]-Table14[[#This Row],[IT]]</f>
        <v>#REF!</v>
      </c>
      <c r="W39" s="44" t="e">
        <f>Table14224553[[#This Row],[LT]]-Table14[[#This Row],[LT]]</f>
        <v>#REF!</v>
      </c>
      <c r="X39" s="44" t="e">
        <f>Table14224553[[#This Row],[LU]]-Table14[[#This Row],[LU]]</f>
        <v>#REF!</v>
      </c>
      <c r="Y39" s="44" t="e">
        <f>Table14224553[[#This Row],[LV]]-Table14[[#This Row],[LV]]</f>
        <v>#REF!</v>
      </c>
      <c r="Z39" s="44" t="e">
        <f>Table14224553[[#This Row],[MT]]-Table14[[#This Row],[MT]]</f>
        <v>#REF!</v>
      </c>
      <c r="AA39" s="44" t="e">
        <f>Table14224553[[#This Row],[NL]]-Table14[[#This Row],[NL]]</f>
        <v>#REF!</v>
      </c>
      <c r="AB39" s="44" t="e">
        <f>Table14224553[[#This Row],[NO]]-Table14[[#This Row],[NO]]</f>
        <v>#REF!</v>
      </c>
      <c r="AC39" s="44" t="e">
        <f>Table14224553[[#This Row],[PL]]-Table14[[#This Row],[PL]]</f>
        <v>#REF!</v>
      </c>
      <c r="AD39" s="44" t="e">
        <f>Table14224553[[#This Row],[PT]]-Table14[[#This Row],[PT]]</f>
        <v>#REF!</v>
      </c>
      <c r="AE39" s="44" t="e">
        <f>Table14224553[[#This Row],[RO]]-Table14[[#This Row],[RO]]</f>
        <v>#REF!</v>
      </c>
      <c r="AF39" s="44" t="e">
        <f>Table14224553[[#This Row],[SE]]-Table14[[#This Row],[SE]]</f>
        <v>#REF!</v>
      </c>
      <c r="AG39" s="44" t="e">
        <f>Table14224553[[#This Row],[SI]]-Table14[[#This Row],[SI]]</f>
        <v>#REF!</v>
      </c>
      <c r="AH39" s="44" t="e">
        <f>Table14224553[[#This Row],[SK]]-Table14[[#This Row],[SK]]</f>
        <v>#REF!</v>
      </c>
      <c r="AI39" s="44" t="e">
        <f>Table14224553[[#This Row],[GB-NIR]]-Table14[[#This Row],[GBNIR]]</f>
        <v>#REF!</v>
      </c>
      <c r="AJ39" s="44"/>
      <c r="AK39" s="44" t="e">
        <f>'ECAT Statistics Mar24'!AJ39-A_BackendPGCompil_March2025!AJ39</f>
        <v>#REF!</v>
      </c>
    </row>
    <row r="40" spans="1:39" ht="15.75" thickTop="1">
      <c r="C40" s="168" t="s">
        <v>3</v>
      </c>
      <c r="D40" s="2" t="s">
        <v>119</v>
      </c>
      <c r="E40" s="23" t="s">
        <v>94</v>
      </c>
      <c r="F40" s="44" t="e">
        <f>Table14224553[[#This Row],[AT]]-Table14[[#This Row],[AT]]</f>
        <v>#REF!</v>
      </c>
      <c r="G40" s="44" t="e">
        <f>Table14224553[[#This Row],[BE]]-Table14[[#This Row],[BE]]</f>
        <v>#REF!</v>
      </c>
      <c r="H40" s="44" t="e">
        <f>Table14224553[[#This Row],[BG]]-Table14[[#This Row],[BG]]</f>
        <v>#REF!</v>
      </c>
      <c r="I40" s="44" t="e">
        <f>Table14224553[[#This Row],[CY]]-Table14[[#This Row],[CY]]</f>
        <v>#REF!</v>
      </c>
      <c r="J40" s="44" t="e">
        <f>Table14224553[[#This Row],[CZ]]-Table14[[#This Row],[CZ]]</f>
        <v>#REF!</v>
      </c>
      <c r="K40" s="44" t="e">
        <f>Table14224553[[#This Row],[DE]]-Table14[[#This Row],[DE]]</f>
        <v>#REF!</v>
      </c>
      <c r="L40" s="44" t="e">
        <f>Table14224553[[#This Row],[DK]]-Table14[[#This Row],[DK]]</f>
        <v>#REF!</v>
      </c>
      <c r="M40" s="44" t="e">
        <f>Table14224553[[#This Row],[EE]]-Table14[[#This Row],[EE]]</f>
        <v>#REF!</v>
      </c>
      <c r="N40" s="44" t="e">
        <f>Table14224553[[#This Row],[EL]]-Table14[[#This Row],[EL]]</f>
        <v>#REF!</v>
      </c>
      <c r="O40" s="44">
        <f>Table14224553[[#This Row],[ES]]-Table14[[#This Row],[ES]]</f>
        <v>445</v>
      </c>
      <c r="P40" s="44" t="e">
        <f>Table14224553[[#This Row],[FI]]-Table14[[#This Row],[FI]]</f>
        <v>#REF!</v>
      </c>
      <c r="Q40" s="44" t="e">
        <f>Table14224553[[#This Row],[FR]]-Table14[[#This Row],[FR]]</f>
        <v>#REF!</v>
      </c>
      <c r="R40" s="44" t="e">
        <f>Table14224553[[#This Row],[HR ]]-Table14[[#This Row],[HR]]</f>
        <v>#REF!</v>
      </c>
      <c r="S40" s="44" t="e">
        <f>Table14224553[[#This Row],[HU]]-Table14[[#This Row],[HU]]</f>
        <v>#REF!</v>
      </c>
      <c r="T40" s="44" t="e">
        <f>Table14224553[[#This Row],[IE]]-Table14[[#This Row],[IE]]</f>
        <v>#REF!</v>
      </c>
      <c r="U40" s="44" t="e">
        <f>Table14224553[[#This Row],[IS]]-Table14[[#This Row],[IS]]</f>
        <v>#REF!</v>
      </c>
      <c r="V40" s="44" t="e">
        <f>Table14224553[[#This Row],[IT]]-Table14[[#This Row],[IT]]</f>
        <v>#REF!</v>
      </c>
      <c r="W40" s="44" t="e">
        <f>Table14224553[[#This Row],[LT]]-Table14[[#This Row],[LT]]</f>
        <v>#REF!</v>
      </c>
      <c r="X40" s="44" t="e">
        <f>Table14224553[[#This Row],[LU]]-Table14[[#This Row],[LU]]</f>
        <v>#REF!</v>
      </c>
      <c r="Y40" s="44" t="e">
        <f>Table14224553[[#This Row],[LV]]-Table14[[#This Row],[LV]]</f>
        <v>#REF!</v>
      </c>
      <c r="Z40" s="44" t="e">
        <f>Table14224553[[#This Row],[MT]]-Table14[[#This Row],[MT]]</f>
        <v>#REF!</v>
      </c>
      <c r="AA40" s="44" t="e">
        <f>Table14224553[[#This Row],[NL]]-Table14[[#This Row],[NL]]</f>
        <v>#REF!</v>
      </c>
      <c r="AB40" s="44" t="e">
        <f>Table14224553[[#This Row],[NO]]-Table14[[#This Row],[NO]]</f>
        <v>#REF!</v>
      </c>
      <c r="AC40" s="44" t="e">
        <f>Table14224553[[#This Row],[PL]]-Table14[[#This Row],[PL]]</f>
        <v>#REF!</v>
      </c>
      <c r="AD40" s="44" t="e">
        <f>Table14224553[[#This Row],[PT]]-Table14[[#This Row],[PT]]</f>
        <v>#REF!</v>
      </c>
      <c r="AE40" s="44" t="e">
        <f>Table14224553[[#This Row],[RO]]-Table14[[#This Row],[RO]]</f>
        <v>#REF!</v>
      </c>
      <c r="AF40" s="44" t="e">
        <f>Table14224553[[#This Row],[SE]]-Table14[[#This Row],[SE]]</f>
        <v>#REF!</v>
      </c>
      <c r="AG40" s="44" t="e">
        <f>Table14224553[[#This Row],[SI]]-Table14[[#This Row],[SI]]</f>
        <v>#REF!</v>
      </c>
      <c r="AH40" s="44" t="e">
        <f>Table14224553[[#This Row],[SK]]-Table14[[#This Row],[SK]]</f>
        <v>#REF!</v>
      </c>
      <c r="AI40" s="44" t="e">
        <f>Table14224553[[#This Row],[GB-NIR]]-Table14[[#This Row],[GBNIR]]</f>
        <v>#REF!</v>
      </c>
      <c r="AJ40" s="44"/>
      <c r="AK40" s="44" t="e">
        <f>'ECAT Statistics Mar24'!AJ40-A_BackendPGCompil_March2025!AJ40</f>
        <v>#REF!</v>
      </c>
    </row>
    <row r="41" spans="1:39">
      <c r="C41" s="169"/>
      <c r="D41" s="2" t="s">
        <v>125</v>
      </c>
      <c r="E41" s="23" t="s">
        <v>95</v>
      </c>
      <c r="F41" s="44" t="e">
        <f>Table14224553[[#This Row],[AT]]-Table14[[#This Row],[AT]]</f>
        <v>#REF!</v>
      </c>
      <c r="G41" s="44" t="e">
        <f>Table14224553[[#This Row],[BE]]-Table14[[#This Row],[BE]]</f>
        <v>#REF!</v>
      </c>
      <c r="H41" s="44" t="e">
        <f>Table14224553[[#This Row],[BG]]-Table14[[#This Row],[BG]]</f>
        <v>#REF!</v>
      </c>
      <c r="I41" s="44" t="e">
        <f>Table14224553[[#This Row],[CY]]-Table14[[#This Row],[CY]]</f>
        <v>#REF!</v>
      </c>
      <c r="J41" s="44" t="e">
        <f>Table14224553[[#This Row],[CZ]]-Table14[[#This Row],[CZ]]</f>
        <v>#REF!</v>
      </c>
      <c r="K41" s="44" t="e">
        <f>Table14224553[[#This Row],[DE]]-Table14[[#This Row],[DE]]</f>
        <v>#REF!</v>
      </c>
      <c r="L41" s="44" t="e">
        <f>Table14224553[[#This Row],[DK]]-Table14[[#This Row],[DK]]</f>
        <v>#REF!</v>
      </c>
      <c r="M41" s="44" t="e">
        <f>Table14224553[[#This Row],[EE]]-Table14[[#This Row],[EE]]</f>
        <v>#REF!</v>
      </c>
      <c r="N41" s="44" t="e">
        <f>Table14224553[[#This Row],[EL]]-Table14[[#This Row],[EL]]</f>
        <v>#REF!</v>
      </c>
      <c r="O41" s="44">
        <f>Table14224553[[#This Row],[ES]]-Table14[[#This Row],[ES]]</f>
        <v>28</v>
      </c>
      <c r="P41" s="44" t="e">
        <f>Table14224553[[#This Row],[FI]]-Table14[[#This Row],[FI]]</f>
        <v>#REF!</v>
      </c>
      <c r="Q41" s="44" t="e">
        <f>Table14224553[[#This Row],[FR]]-Table14[[#This Row],[FR]]</f>
        <v>#REF!</v>
      </c>
      <c r="R41" s="44" t="e">
        <f>Table14224553[[#This Row],[HR ]]-Table14[[#This Row],[HR]]</f>
        <v>#REF!</v>
      </c>
      <c r="S41" s="44" t="e">
        <f>Table14224553[[#This Row],[HU]]-Table14[[#This Row],[HU]]</f>
        <v>#REF!</v>
      </c>
      <c r="T41" s="44" t="e">
        <f>Table14224553[[#This Row],[IE]]-Table14[[#This Row],[IE]]</f>
        <v>#REF!</v>
      </c>
      <c r="U41" s="44" t="e">
        <f>Table14224553[[#This Row],[IS]]-Table14[[#This Row],[IS]]</f>
        <v>#REF!</v>
      </c>
      <c r="V41" s="44" t="e">
        <f>Table14224553[[#This Row],[IT]]-Table14[[#This Row],[IT]]</f>
        <v>#REF!</v>
      </c>
      <c r="W41" s="44" t="e">
        <f>Table14224553[[#This Row],[LT]]-Table14[[#This Row],[LT]]</f>
        <v>#REF!</v>
      </c>
      <c r="X41" s="44" t="e">
        <f>Table14224553[[#This Row],[LU]]-Table14[[#This Row],[LU]]</f>
        <v>#REF!</v>
      </c>
      <c r="Y41" s="44" t="e">
        <f>Table14224553[[#This Row],[LV]]-Table14[[#This Row],[LV]]</f>
        <v>#REF!</v>
      </c>
      <c r="Z41" s="44" t="e">
        <f>Table14224553[[#This Row],[MT]]-Table14[[#This Row],[MT]]</f>
        <v>#REF!</v>
      </c>
      <c r="AA41" s="44" t="e">
        <f>Table14224553[[#This Row],[NL]]-Table14[[#This Row],[NL]]</f>
        <v>#REF!</v>
      </c>
      <c r="AB41" s="44" t="e">
        <f>Table14224553[[#This Row],[NO]]-Table14[[#This Row],[NO]]</f>
        <v>#REF!</v>
      </c>
      <c r="AC41" s="44" t="e">
        <f>Table14224553[[#This Row],[PL]]-Table14[[#This Row],[PL]]</f>
        <v>#REF!</v>
      </c>
      <c r="AD41" s="44" t="e">
        <f>Table14224553[[#This Row],[PT]]-Table14[[#This Row],[PT]]</f>
        <v>#REF!</v>
      </c>
      <c r="AE41" s="44" t="e">
        <f>Table14224553[[#This Row],[RO]]-Table14[[#This Row],[RO]]</f>
        <v>#REF!</v>
      </c>
      <c r="AF41" s="44" t="e">
        <f>Table14224553[[#This Row],[SE]]-Table14[[#This Row],[SE]]</f>
        <v>#REF!</v>
      </c>
      <c r="AG41" s="44" t="e">
        <f>Table14224553[[#This Row],[SI]]-Table14[[#This Row],[SI]]</f>
        <v>#REF!</v>
      </c>
      <c r="AH41" s="44" t="e">
        <f>Table14224553[[#This Row],[SK]]-Table14[[#This Row],[SK]]</f>
        <v>#REF!</v>
      </c>
      <c r="AI41" s="44" t="e">
        <f>Table14224553[[#This Row],[GB-NIR]]-Table14[[#This Row],[GBNIR]]</f>
        <v>#REF!</v>
      </c>
      <c r="AJ41" s="44"/>
      <c r="AK41" s="44" t="e">
        <f>'ECAT Statistics Mar24'!AJ41-A_BackendPGCompil_March2025!AJ41</f>
        <v>#REF!</v>
      </c>
    </row>
    <row r="42" spans="1:39">
      <c r="C42" s="169"/>
      <c r="D42" s="2" t="s">
        <v>126</v>
      </c>
      <c r="E42" s="23" t="s">
        <v>96</v>
      </c>
      <c r="F42" s="44" t="e">
        <f>Table14224553[[#This Row],[AT]]-Table14[[#This Row],[AT]]</f>
        <v>#REF!</v>
      </c>
      <c r="G42" s="44" t="e">
        <f>Table14224553[[#This Row],[BE]]-Table14[[#This Row],[BE]]</f>
        <v>#REF!</v>
      </c>
      <c r="H42" s="44" t="e">
        <f>Table14224553[[#This Row],[BG]]-Table14[[#This Row],[BG]]</f>
        <v>#REF!</v>
      </c>
      <c r="I42" s="44" t="e">
        <f>Table14224553[[#This Row],[CY]]-Table14[[#This Row],[CY]]</f>
        <v>#REF!</v>
      </c>
      <c r="J42" s="44" t="e">
        <f>Table14224553[[#This Row],[CZ]]-Table14[[#This Row],[CZ]]</f>
        <v>#REF!</v>
      </c>
      <c r="K42" s="44" t="e">
        <f>Table14224553[[#This Row],[DE]]-Table14[[#This Row],[DE]]</f>
        <v>#REF!</v>
      </c>
      <c r="L42" s="44" t="e">
        <f>Table14224553[[#This Row],[DK]]-Table14[[#This Row],[DK]]</f>
        <v>#REF!</v>
      </c>
      <c r="M42" s="44" t="e">
        <f>Table14224553[[#This Row],[EE]]-Table14[[#This Row],[EE]]</f>
        <v>#REF!</v>
      </c>
      <c r="N42" s="44" t="e">
        <f>Table14224553[[#This Row],[EL]]-Table14[[#This Row],[EL]]</f>
        <v>#REF!</v>
      </c>
      <c r="O42" s="44">
        <f>Table14224553[[#This Row],[ES]]-Table14[[#This Row],[ES]]</f>
        <v>127</v>
      </c>
      <c r="P42" s="44" t="e">
        <f>Table14224553[[#This Row],[FI]]-Table14[[#This Row],[FI]]</f>
        <v>#REF!</v>
      </c>
      <c r="Q42" s="44" t="e">
        <f>Table14224553[[#This Row],[FR]]-Table14[[#This Row],[FR]]</f>
        <v>#REF!</v>
      </c>
      <c r="R42" s="44" t="e">
        <f>Table14224553[[#This Row],[HR ]]-Table14[[#This Row],[HR]]</f>
        <v>#REF!</v>
      </c>
      <c r="S42" s="44" t="e">
        <f>Table14224553[[#This Row],[HU]]-Table14[[#This Row],[HU]]</f>
        <v>#REF!</v>
      </c>
      <c r="T42" s="44" t="e">
        <f>Table14224553[[#This Row],[IE]]-Table14[[#This Row],[IE]]</f>
        <v>#REF!</v>
      </c>
      <c r="U42" s="44" t="e">
        <f>Table14224553[[#This Row],[IS]]-Table14[[#This Row],[IS]]</f>
        <v>#REF!</v>
      </c>
      <c r="V42" s="44" t="e">
        <f>Table14224553[[#This Row],[IT]]-Table14[[#This Row],[IT]]</f>
        <v>#REF!</v>
      </c>
      <c r="W42" s="44" t="e">
        <f>Table14224553[[#This Row],[LT]]-Table14[[#This Row],[LT]]</f>
        <v>#REF!</v>
      </c>
      <c r="X42" s="44" t="e">
        <f>Table14224553[[#This Row],[LU]]-Table14[[#This Row],[LU]]</f>
        <v>#REF!</v>
      </c>
      <c r="Y42" s="44" t="e">
        <f>Table14224553[[#This Row],[LV]]-Table14[[#This Row],[LV]]</f>
        <v>#REF!</v>
      </c>
      <c r="Z42" s="44" t="e">
        <f>Table14224553[[#This Row],[MT]]-Table14[[#This Row],[MT]]</f>
        <v>#REF!</v>
      </c>
      <c r="AA42" s="44" t="e">
        <f>Table14224553[[#This Row],[NL]]-Table14[[#This Row],[NL]]</f>
        <v>#REF!</v>
      </c>
      <c r="AB42" s="44" t="e">
        <f>Table14224553[[#This Row],[NO]]-Table14[[#This Row],[NO]]</f>
        <v>#REF!</v>
      </c>
      <c r="AC42" s="44" t="e">
        <f>Table14224553[[#This Row],[PL]]-Table14[[#This Row],[PL]]</f>
        <v>#REF!</v>
      </c>
      <c r="AD42" s="44" t="e">
        <f>Table14224553[[#This Row],[PT]]-Table14[[#This Row],[PT]]</f>
        <v>#REF!</v>
      </c>
      <c r="AE42" s="44" t="e">
        <f>Table14224553[[#This Row],[RO]]-Table14[[#This Row],[RO]]</f>
        <v>#REF!</v>
      </c>
      <c r="AF42" s="44" t="e">
        <f>Table14224553[[#This Row],[SE]]-Table14[[#This Row],[SE]]</f>
        <v>#REF!</v>
      </c>
      <c r="AG42" s="44" t="e">
        <f>Table14224553[[#This Row],[SI]]-Table14[[#This Row],[SI]]</f>
        <v>#REF!</v>
      </c>
      <c r="AH42" s="44" t="e">
        <f>Table14224553[[#This Row],[SK]]-Table14[[#This Row],[SK]]</f>
        <v>#REF!</v>
      </c>
      <c r="AI42" s="44" t="e">
        <f>Table14224553[[#This Row],[GB-NIR]]-Table14[[#This Row],[GBNIR]]</f>
        <v>#REF!</v>
      </c>
      <c r="AJ42" s="44"/>
      <c r="AK42" s="44" t="e">
        <f>'ECAT Statistics Mar24'!AJ42-A_BackendPGCompil_March2025!AJ42</f>
        <v>#REF!</v>
      </c>
    </row>
    <row r="43" spans="1:39">
      <c r="C43" s="169"/>
      <c r="D43" s="2" t="s">
        <v>6</v>
      </c>
      <c r="E43" s="23" t="s">
        <v>97</v>
      </c>
      <c r="F43" s="44" t="e">
        <f>Table14224553[[#This Row],[AT]]-Table14[[#This Row],[AT]]</f>
        <v>#REF!</v>
      </c>
      <c r="G43" s="44" t="e">
        <f>Table14224553[[#This Row],[BE]]-Table14[[#This Row],[BE]]</f>
        <v>#REF!</v>
      </c>
      <c r="H43" s="44" t="e">
        <f>Table14224553[[#This Row],[BG]]-Table14[[#This Row],[BG]]</f>
        <v>#REF!</v>
      </c>
      <c r="I43" s="44" t="e">
        <f>Table14224553[[#This Row],[CY]]-Table14[[#This Row],[CY]]</f>
        <v>#REF!</v>
      </c>
      <c r="J43" s="44" t="e">
        <f>Table14224553[[#This Row],[CZ]]-Table14[[#This Row],[CZ]]</f>
        <v>#REF!</v>
      </c>
      <c r="K43" s="44" t="e">
        <f>Table14224553[[#This Row],[DE]]-Table14[[#This Row],[DE]]</f>
        <v>#REF!</v>
      </c>
      <c r="L43" s="44" t="e">
        <f>Table14224553[[#This Row],[DK]]-Table14[[#This Row],[DK]]</f>
        <v>#REF!</v>
      </c>
      <c r="M43" s="44" t="e">
        <f>Table14224553[[#This Row],[EE]]-Table14[[#This Row],[EE]]</f>
        <v>#REF!</v>
      </c>
      <c r="N43" s="44" t="e">
        <f>Table14224553[[#This Row],[EL]]-Table14[[#This Row],[EL]]</f>
        <v>#REF!</v>
      </c>
      <c r="O43" s="44">
        <f>Table14224553[[#This Row],[ES]]-Table14[[#This Row],[ES]]</f>
        <v>87</v>
      </c>
      <c r="P43" s="44" t="e">
        <f>Table14224553[[#This Row],[FI]]-Table14[[#This Row],[FI]]</f>
        <v>#REF!</v>
      </c>
      <c r="Q43" s="44" t="e">
        <f>Table14224553[[#This Row],[FR]]-Table14[[#This Row],[FR]]</f>
        <v>#REF!</v>
      </c>
      <c r="R43" s="44" t="e">
        <f>Table14224553[[#This Row],[HR ]]-Table14[[#This Row],[HR]]</f>
        <v>#REF!</v>
      </c>
      <c r="S43" s="44" t="e">
        <f>Table14224553[[#This Row],[HU]]-Table14[[#This Row],[HU]]</f>
        <v>#REF!</v>
      </c>
      <c r="T43" s="44" t="e">
        <f>Table14224553[[#This Row],[IE]]-Table14[[#This Row],[IE]]</f>
        <v>#REF!</v>
      </c>
      <c r="U43" s="44" t="e">
        <f>Table14224553[[#This Row],[IS]]-Table14[[#This Row],[IS]]</f>
        <v>#REF!</v>
      </c>
      <c r="V43" s="44" t="e">
        <f>Table14224553[[#This Row],[IT]]-Table14[[#This Row],[IT]]</f>
        <v>#REF!</v>
      </c>
      <c r="W43" s="44" t="e">
        <f>Table14224553[[#This Row],[LT]]-Table14[[#This Row],[LT]]</f>
        <v>#REF!</v>
      </c>
      <c r="X43" s="44" t="e">
        <f>Table14224553[[#This Row],[LU]]-Table14[[#This Row],[LU]]</f>
        <v>#REF!</v>
      </c>
      <c r="Y43" s="44" t="e">
        <f>Table14224553[[#This Row],[LV]]-Table14[[#This Row],[LV]]</f>
        <v>#REF!</v>
      </c>
      <c r="Z43" s="44" t="e">
        <f>Table14224553[[#This Row],[MT]]-Table14[[#This Row],[MT]]</f>
        <v>#REF!</v>
      </c>
      <c r="AA43" s="44" t="e">
        <f>Table14224553[[#This Row],[NL]]-Table14[[#This Row],[NL]]</f>
        <v>#REF!</v>
      </c>
      <c r="AB43" s="44" t="e">
        <f>Table14224553[[#This Row],[NO]]-Table14[[#This Row],[NO]]</f>
        <v>#REF!</v>
      </c>
      <c r="AC43" s="44" t="e">
        <f>Table14224553[[#This Row],[PL]]-Table14[[#This Row],[PL]]</f>
        <v>#REF!</v>
      </c>
      <c r="AD43" s="44" t="e">
        <f>Table14224553[[#This Row],[PT]]-Table14[[#This Row],[PT]]</f>
        <v>#REF!</v>
      </c>
      <c r="AE43" s="44" t="e">
        <f>Table14224553[[#This Row],[RO]]-Table14[[#This Row],[RO]]</f>
        <v>#REF!</v>
      </c>
      <c r="AF43" s="44" t="e">
        <f>Table14224553[[#This Row],[SE]]-Table14[[#This Row],[SE]]</f>
        <v>#REF!</v>
      </c>
      <c r="AG43" s="44" t="e">
        <f>Table14224553[[#This Row],[SI]]-Table14[[#This Row],[SI]]</f>
        <v>#REF!</v>
      </c>
      <c r="AH43" s="44" t="e">
        <f>Table14224553[[#This Row],[SK]]-Table14[[#This Row],[SK]]</f>
        <v>#REF!</v>
      </c>
      <c r="AI43" s="44" t="e">
        <f>Table14224553[[#This Row],[GB-NIR]]-Table14[[#This Row],[GBNIR]]</f>
        <v>#REF!</v>
      </c>
      <c r="AJ43" s="44"/>
      <c r="AK43" s="44" t="e">
        <f>'ECAT Statistics Mar24'!AJ43-A_BackendPGCompil_March2025!AJ43</f>
        <v>#REF!</v>
      </c>
    </row>
    <row r="44" spans="1:39">
      <c r="C44" s="169"/>
      <c r="D44" s="2" t="s">
        <v>7</v>
      </c>
      <c r="E44" s="23" t="s">
        <v>98</v>
      </c>
      <c r="F44" s="44" t="e">
        <f>Table14224553[[#This Row],[AT]]-Table14[[#This Row],[AT]]</f>
        <v>#REF!</v>
      </c>
      <c r="G44" s="44" t="e">
        <f>Table14224553[[#This Row],[BE]]-Table14[[#This Row],[BE]]</f>
        <v>#REF!</v>
      </c>
      <c r="H44" s="44" t="e">
        <f>Table14224553[[#This Row],[BG]]-Table14[[#This Row],[BG]]</f>
        <v>#REF!</v>
      </c>
      <c r="I44" s="44" t="e">
        <f>Table14224553[[#This Row],[CY]]-Table14[[#This Row],[CY]]</f>
        <v>#REF!</v>
      </c>
      <c r="J44" s="44" t="e">
        <f>Table14224553[[#This Row],[CZ]]-Table14[[#This Row],[CZ]]</f>
        <v>#REF!</v>
      </c>
      <c r="K44" s="44" t="e">
        <f>Table14224553[[#This Row],[DE]]-Table14[[#This Row],[DE]]</f>
        <v>#REF!</v>
      </c>
      <c r="L44" s="44" t="e">
        <f>Table14224553[[#This Row],[DK]]-Table14[[#This Row],[DK]]</f>
        <v>#REF!</v>
      </c>
      <c r="M44" s="44" t="e">
        <f>Table14224553[[#This Row],[EE]]-Table14[[#This Row],[EE]]</f>
        <v>#REF!</v>
      </c>
      <c r="N44" s="44" t="e">
        <f>Table14224553[[#This Row],[EL]]-Table14[[#This Row],[EL]]</f>
        <v>#REF!</v>
      </c>
      <c r="O44" s="44">
        <f>Table14224553[[#This Row],[ES]]-Table14[[#This Row],[ES]]</f>
        <v>111</v>
      </c>
      <c r="P44" s="44" t="e">
        <f>Table14224553[[#This Row],[FI]]-Table14[[#This Row],[FI]]</f>
        <v>#REF!</v>
      </c>
      <c r="Q44" s="44" t="e">
        <f>Table14224553[[#This Row],[FR]]-Table14[[#This Row],[FR]]</f>
        <v>#REF!</v>
      </c>
      <c r="R44" s="44" t="e">
        <f>Table14224553[[#This Row],[HR ]]-Table14[[#This Row],[HR]]</f>
        <v>#REF!</v>
      </c>
      <c r="S44" s="44" t="e">
        <f>Table14224553[[#This Row],[HU]]-Table14[[#This Row],[HU]]</f>
        <v>#REF!</v>
      </c>
      <c r="T44" s="44" t="e">
        <f>Table14224553[[#This Row],[IE]]-Table14[[#This Row],[IE]]</f>
        <v>#REF!</v>
      </c>
      <c r="U44" s="44" t="e">
        <f>Table14224553[[#This Row],[IS]]-Table14[[#This Row],[IS]]</f>
        <v>#REF!</v>
      </c>
      <c r="V44" s="44" t="e">
        <f>Table14224553[[#This Row],[IT]]-Table14[[#This Row],[IT]]</f>
        <v>#REF!</v>
      </c>
      <c r="W44" s="44" t="e">
        <f>Table14224553[[#This Row],[LT]]-Table14[[#This Row],[LT]]</f>
        <v>#REF!</v>
      </c>
      <c r="X44" s="44" t="e">
        <f>Table14224553[[#This Row],[LU]]-Table14[[#This Row],[LU]]</f>
        <v>#REF!</v>
      </c>
      <c r="Y44" s="44" t="e">
        <f>Table14224553[[#This Row],[LV]]-Table14[[#This Row],[LV]]</f>
        <v>#REF!</v>
      </c>
      <c r="Z44" s="44" t="e">
        <f>Table14224553[[#This Row],[MT]]-Table14[[#This Row],[MT]]</f>
        <v>#REF!</v>
      </c>
      <c r="AA44" s="44" t="e">
        <f>Table14224553[[#This Row],[NL]]-Table14[[#This Row],[NL]]</f>
        <v>#REF!</v>
      </c>
      <c r="AB44" s="44" t="e">
        <f>Table14224553[[#This Row],[NO]]-Table14[[#This Row],[NO]]</f>
        <v>#REF!</v>
      </c>
      <c r="AC44" s="44" t="e">
        <f>Table14224553[[#This Row],[PL]]-Table14[[#This Row],[PL]]</f>
        <v>#REF!</v>
      </c>
      <c r="AD44" s="44" t="e">
        <f>Table14224553[[#This Row],[PT]]-Table14[[#This Row],[PT]]</f>
        <v>#REF!</v>
      </c>
      <c r="AE44" s="44" t="e">
        <f>Table14224553[[#This Row],[RO]]-Table14[[#This Row],[RO]]</f>
        <v>#REF!</v>
      </c>
      <c r="AF44" s="44" t="e">
        <f>Table14224553[[#This Row],[SE]]-Table14[[#This Row],[SE]]</f>
        <v>#REF!</v>
      </c>
      <c r="AG44" s="44" t="e">
        <f>Table14224553[[#This Row],[SI]]-Table14[[#This Row],[SI]]</f>
        <v>#REF!</v>
      </c>
      <c r="AH44" s="44" t="e">
        <f>Table14224553[[#This Row],[SK]]-Table14[[#This Row],[SK]]</f>
        <v>#REF!</v>
      </c>
      <c r="AI44" s="44" t="e">
        <f>Table14224553[[#This Row],[GB-NIR]]-Table14[[#This Row],[GBNIR]]</f>
        <v>#REF!</v>
      </c>
      <c r="AJ44" s="44"/>
      <c r="AK44" s="44" t="e">
        <f>'ECAT Statistics Mar24'!AJ44-A_BackendPGCompil_March2025!AJ44</f>
        <v>#REF!</v>
      </c>
    </row>
    <row r="45" spans="1:39">
      <c r="C45" s="169"/>
      <c r="D45" s="2" t="s">
        <v>8</v>
      </c>
      <c r="E45" s="23" t="s">
        <v>99</v>
      </c>
      <c r="F45" s="44" t="e">
        <f>Table14224553[[#This Row],[AT]]-Table14[[#This Row],[AT]]</f>
        <v>#REF!</v>
      </c>
      <c r="G45" s="44" t="e">
        <f>Table14224553[[#This Row],[BE]]-Table14[[#This Row],[BE]]</f>
        <v>#REF!</v>
      </c>
      <c r="H45" s="44" t="e">
        <f>Table14224553[[#This Row],[BG]]-Table14[[#This Row],[BG]]</f>
        <v>#REF!</v>
      </c>
      <c r="I45" s="44" t="e">
        <f>Table14224553[[#This Row],[CY]]-Table14[[#This Row],[CY]]</f>
        <v>#REF!</v>
      </c>
      <c r="J45" s="44" t="e">
        <f>Table14224553[[#This Row],[CZ]]-Table14[[#This Row],[CZ]]</f>
        <v>#REF!</v>
      </c>
      <c r="K45" s="44" t="e">
        <f>Table14224553[[#This Row],[DE]]-Table14[[#This Row],[DE]]</f>
        <v>#REF!</v>
      </c>
      <c r="L45" s="44" t="e">
        <f>Table14224553[[#This Row],[DK]]-Table14[[#This Row],[DK]]</f>
        <v>#REF!</v>
      </c>
      <c r="M45" s="44" t="e">
        <f>Table14224553[[#This Row],[EE]]-Table14[[#This Row],[EE]]</f>
        <v>#REF!</v>
      </c>
      <c r="N45" s="44" t="e">
        <f>Table14224553[[#This Row],[EL]]-Table14[[#This Row],[EL]]</f>
        <v>#REF!</v>
      </c>
      <c r="O45" s="44">
        <f>Table14224553[[#This Row],[ES]]-Table14[[#This Row],[ES]]</f>
        <v>41</v>
      </c>
      <c r="P45" s="44" t="e">
        <f>Table14224553[[#This Row],[FI]]-Table14[[#This Row],[FI]]</f>
        <v>#REF!</v>
      </c>
      <c r="Q45" s="44" t="e">
        <f>Table14224553[[#This Row],[FR]]-Table14[[#This Row],[FR]]</f>
        <v>#REF!</v>
      </c>
      <c r="R45" s="44" t="e">
        <f>Table14224553[[#This Row],[HR ]]-Table14[[#This Row],[HR]]</f>
        <v>#REF!</v>
      </c>
      <c r="S45" s="44" t="e">
        <f>Table14224553[[#This Row],[HU]]-Table14[[#This Row],[HU]]</f>
        <v>#REF!</v>
      </c>
      <c r="T45" s="44" t="e">
        <f>Table14224553[[#This Row],[IE]]-Table14[[#This Row],[IE]]</f>
        <v>#REF!</v>
      </c>
      <c r="U45" s="44" t="e">
        <f>Table14224553[[#This Row],[IS]]-Table14[[#This Row],[IS]]</f>
        <v>#REF!</v>
      </c>
      <c r="V45" s="44" t="e">
        <f>Table14224553[[#This Row],[IT]]-Table14[[#This Row],[IT]]</f>
        <v>#REF!</v>
      </c>
      <c r="W45" s="44" t="e">
        <f>Table14224553[[#This Row],[LT]]-Table14[[#This Row],[LT]]</f>
        <v>#REF!</v>
      </c>
      <c r="X45" s="44" t="e">
        <f>Table14224553[[#This Row],[LU]]-Table14[[#This Row],[LU]]</f>
        <v>#REF!</v>
      </c>
      <c r="Y45" s="44" t="e">
        <f>Table14224553[[#This Row],[LV]]-Table14[[#This Row],[LV]]</f>
        <v>#REF!</v>
      </c>
      <c r="Z45" s="44" t="e">
        <f>Table14224553[[#This Row],[MT]]-Table14[[#This Row],[MT]]</f>
        <v>#REF!</v>
      </c>
      <c r="AA45" s="44" t="e">
        <f>Table14224553[[#This Row],[NL]]-Table14[[#This Row],[NL]]</f>
        <v>#REF!</v>
      </c>
      <c r="AB45" s="44" t="e">
        <f>Table14224553[[#This Row],[NO]]-Table14[[#This Row],[NO]]</f>
        <v>#REF!</v>
      </c>
      <c r="AC45" s="44" t="e">
        <f>Table14224553[[#This Row],[PL]]-Table14[[#This Row],[PL]]</f>
        <v>#REF!</v>
      </c>
      <c r="AD45" s="44" t="e">
        <f>Table14224553[[#This Row],[PT]]-Table14[[#This Row],[PT]]</f>
        <v>#REF!</v>
      </c>
      <c r="AE45" s="44" t="e">
        <f>Table14224553[[#This Row],[RO]]-Table14[[#This Row],[RO]]</f>
        <v>#REF!</v>
      </c>
      <c r="AF45" s="44" t="e">
        <f>Table14224553[[#This Row],[SE]]-Table14[[#This Row],[SE]]</f>
        <v>#REF!</v>
      </c>
      <c r="AG45" s="44" t="e">
        <f>Table14224553[[#This Row],[SI]]-Table14[[#This Row],[SI]]</f>
        <v>#REF!</v>
      </c>
      <c r="AH45" s="44" t="e">
        <f>Table14224553[[#This Row],[SK]]-Table14[[#This Row],[SK]]</f>
        <v>#REF!</v>
      </c>
      <c r="AI45" s="44" t="e">
        <f>Table14224553[[#This Row],[GB-NIR]]-Table14[[#This Row],[GBNIR]]</f>
        <v>#REF!</v>
      </c>
      <c r="AJ45" s="44"/>
      <c r="AK45" s="44" t="e">
        <f>'ECAT Statistics Mar24'!AJ45-A_BackendPGCompil_March2025!AJ45</f>
        <v>#REF!</v>
      </c>
    </row>
    <row r="46" spans="1:39" ht="15.75" thickBot="1">
      <c r="C46" s="170"/>
      <c r="D46" s="2" t="s">
        <v>123</v>
      </c>
      <c r="E46" s="27" t="s">
        <v>116</v>
      </c>
      <c r="F46" s="44" t="e">
        <f>Table14224553[[#This Row],[AT]]-Table14[[#This Row],[AT]]</f>
        <v>#REF!</v>
      </c>
      <c r="G46" s="44" t="e">
        <f>Table14224553[[#This Row],[BE]]-Table14[[#This Row],[BE]]</f>
        <v>#REF!</v>
      </c>
      <c r="H46" s="44" t="e">
        <f>Table14224553[[#This Row],[BG]]-Table14[[#This Row],[BG]]</f>
        <v>#REF!</v>
      </c>
      <c r="I46" s="44" t="e">
        <f>Table14224553[[#This Row],[CY]]-Table14[[#This Row],[CY]]</f>
        <v>#REF!</v>
      </c>
      <c r="J46" s="44" t="e">
        <f>Table14224553[[#This Row],[CZ]]-Table14[[#This Row],[CZ]]</f>
        <v>#REF!</v>
      </c>
      <c r="K46" s="44" t="e">
        <f>Table14224553[[#This Row],[DE]]-Table14[[#This Row],[DE]]</f>
        <v>#REF!</v>
      </c>
      <c r="L46" s="44" t="e">
        <f>Table14224553[[#This Row],[DK]]-Table14[[#This Row],[DK]]</f>
        <v>#REF!</v>
      </c>
      <c r="M46" s="44" t="e">
        <f>Table14224553[[#This Row],[EE]]-Table14[[#This Row],[EE]]</f>
        <v>#REF!</v>
      </c>
      <c r="N46" s="44" t="e">
        <f>Table14224553[[#This Row],[EL]]-Table14[[#This Row],[EL]]</f>
        <v>#REF!</v>
      </c>
      <c r="O46" s="44">
        <f>Table14224553[[#This Row],[ES]]-Table14[[#This Row],[ES]]</f>
        <v>16</v>
      </c>
      <c r="P46" s="44" t="e">
        <f>Table14224553[[#This Row],[FI]]-Table14[[#This Row],[FI]]</f>
        <v>#REF!</v>
      </c>
      <c r="Q46" s="44" t="e">
        <f>Table14224553[[#This Row],[FR]]-Table14[[#This Row],[FR]]</f>
        <v>#REF!</v>
      </c>
      <c r="R46" s="44" t="e">
        <f>Table14224553[[#This Row],[HR ]]-Table14[[#This Row],[HR]]</f>
        <v>#REF!</v>
      </c>
      <c r="S46" s="44" t="e">
        <f>Table14224553[[#This Row],[HU]]-Table14[[#This Row],[HU]]</f>
        <v>#REF!</v>
      </c>
      <c r="T46" s="44" t="e">
        <f>Table14224553[[#This Row],[IE]]-Table14[[#This Row],[IE]]</f>
        <v>#REF!</v>
      </c>
      <c r="U46" s="44" t="e">
        <f>Table14224553[[#This Row],[IS]]-Table14[[#This Row],[IS]]</f>
        <v>#REF!</v>
      </c>
      <c r="V46" s="44" t="e">
        <f>Table14224553[[#This Row],[IT]]-Table14[[#This Row],[IT]]</f>
        <v>#REF!</v>
      </c>
      <c r="W46" s="44" t="e">
        <f>Table14224553[[#This Row],[LT]]-Table14[[#This Row],[LT]]</f>
        <v>#REF!</v>
      </c>
      <c r="X46" s="44" t="e">
        <f>Table14224553[[#This Row],[LU]]-Table14[[#This Row],[LU]]</f>
        <v>#REF!</v>
      </c>
      <c r="Y46" s="44" t="e">
        <f>Table14224553[[#This Row],[LV]]-Table14[[#This Row],[LV]]</f>
        <v>#REF!</v>
      </c>
      <c r="Z46" s="44" t="e">
        <f>Table14224553[[#This Row],[MT]]-Table14[[#This Row],[MT]]</f>
        <v>#REF!</v>
      </c>
      <c r="AA46" s="44" t="e">
        <f>Table14224553[[#This Row],[NL]]-Table14[[#This Row],[NL]]</f>
        <v>#REF!</v>
      </c>
      <c r="AB46" s="44" t="e">
        <f>Table14224553[[#This Row],[NO]]-Table14[[#This Row],[NO]]</f>
        <v>#REF!</v>
      </c>
      <c r="AC46" s="44" t="e">
        <f>Table14224553[[#This Row],[PL]]-Table14[[#This Row],[PL]]</f>
        <v>#REF!</v>
      </c>
      <c r="AD46" s="44" t="e">
        <f>Table14224553[[#This Row],[PT]]-Table14[[#This Row],[PT]]</f>
        <v>#REF!</v>
      </c>
      <c r="AE46" s="44" t="e">
        <f>Table14224553[[#This Row],[RO]]-Table14[[#This Row],[RO]]</f>
        <v>#REF!</v>
      </c>
      <c r="AF46" s="44" t="e">
        <f>Table14224553[[#This Row],[SE]]-Table14[[#This Row],[SE]]</f>
        <v>#REF!</v>
      </c>
      <c r="AG46" s="44" t="e">
        <f>Table14224553[[#This Row],[SI]]-Table14[[#This Row],[SI]]</f>
        <v>#REF!</v>
      </c>
      <c r="AH46" s="44" t="e">
        <f>Table14224553[[#This Row],[SK]]-Table14[[#This Row],[SK]]</f>
        <v>#REF!</v>
      </c>
      <c r="AI46" s="44" t="e">
        <f>Table14224553[[#This Row],[GB-NIR]]-Table14[[#This Row],[GBNIR]]</f>
        <v>#REF!</v>
      </c>
      <c r="AJ46" s="44"/>
      <c r="AK46" s="44" t="e">
        <f>'ECAT Statistics Mar24'!AJ46-A_BackendPGCompil_March2025!AJ46</f>
        <v>#REF!</v>
      </c>
    </row>
    <row r="47" spans="1:39" ht="15.75" thickTop="1">
      <c r="C47" s="165" t="s">
        <v>9</v>
      </c>
      <c r="D47" s="2" t="s">
        <v>10</v>
      </c>
      <c r="E47" s="23" t="s">
        <v>100</v>
      </c>
      <c r="F47" s="44" t="e">
        <f>Table14224553[[#This Row],[AT]]-Table14[[#This Row],[AT]]</f>
        <v>#REF!</v>
      </c>
      <c r="G47" s="44" t="e">
        <f>Table14224553[[#This Row],[BE]]-Table14[[#This Row],[BE]]</f>
        <v>#REF!</v>
      </c>
      <c r="H47" s="44" t="e">
        <f>Table14224553[[#This Row],[BG]]-Table14[[#This Row],[BG]]</f>
        <v>#REF!</v>
      </c>
      <c r="I47" s="44" t="e">
        <f>Table14224553[[#This Row],[CY]]-Table14[[#This Row],[CY]]</f>
        <v>#REF!</v>
      </c>
      <c r="J47" s="44" t="e">
        <f>Table14224553[[#This Row],[CZ]]-Table14[[#This Row],[CZ]]</f>
        <v>#REF!</v>
      </c>
      <c r="K47" s="44" t="e">
        <f>Table14224553[[#This Row],[DE]]-Table14[[#This Row],[DE]]</f>
        <v>#REF!</v>
      </c>
      <c r="L47" s="44" t="e">
        <f>Table14224553[[#This Row],[DK]]-Table14[[#This Row],[DK]]</f>
        <v>#REF!</v>
      </c>
      <c r="M47" s="44" t="e">
        <f>Table14224553[[#This Row],[EE]]-Table14[[#This Row],[EE]]</f>
        <v>#REF!</v>
      </c>
      <c r="N47" s="44" t="e">
        <f>Table14224553[[#This Row],[EL]]-Table14[[#This Row],[EL]]</f>
        <v>#REF!</v>
      </c>
      <c r="O47" s="44">
        <f>Table14224553[[#This Row],[ES]]-Table14[[#This Row],[ES]]</f>
        <v>11</v>
      </c>
      <c r="P47" s="44" t="e">
        <f>Table14224553[[#This Row],[FI]]-Table14[[#This Row],[FI]]</f>
        <v>#REF!</v>
      </c>
      <c r="Q47" s="44" t="e">
        <f>Table14224553[[#This Row],[FR]]-Table14[[#This Row],[FR]]</f>
        <v>#REF!</v>
      </c>
      <c r="R47" s="44" t="e">
        <f>Table14224553[[#This Row],[HR ]]-Table14[[#This Row],[HR]]</f>
        <v>#REF!</v>
      </c>
      <c r="S47" s="44" t="e">
        <f>Table14224553[[#This Row],[HU]]-Table14[[#This Row],[HU]]</f>
        <v>#REF!</v>
      </c>
      <c r="T47" s="44" t="e">
        <f>Table14224553[[#This Row],[IE]]-Table14[[#This Row],[IE]]</f>
        <v>#REF!</v>
      </c>
      <c r="U47" s="44" t="e">
        <f>Table14224553[[#This Row],[IS]]-Table14[[#This Row],[IS]]</f>
        <v>#REF!</v>
      </c>
      <c r="V47" s="44" t="e">
        <f>Table14224553[[#This Row],[IT]]-Table14[[#This Row],[IT]]</f>
        <v>#REF!</v>
      </c>
      <c r="W47" s="44" t="e">
        <f>Table14224553[[#This Row],[LT]]-Table14[[#This Row],[LT]]</f>
        <v>#REF!</v>
      </c>
      <c r="X47" s="44" t="e">
        <f>Table14224553[[#This Row],[LU]]-Table14[[#This Row],[LU]]</f>
        <v>#REF!</v>
      </c>
      <c r="Y47" s="44" t="e">
        <f>Table14224553[[#This Row],[LV]]-Table14[[#This Row],[LV]]</f>
        <v>#REF!</v>
      </c>
      <c r="Z47" s="44" t="e">
        <f>Table14224553[[#This Row],[MT]]-Table14[[#This Row],[MT]]</f>
        <v>#REF!</v>
      </c>
      <c r="AA47" s="44" t="e">
        <f>Table14224553[[#This Row],[NL]]-Table14[[#This Row],[NL]]</f>
        <v>#REF!</v>
      </c>
      <c r="AB47" s="44" t="e">
        <f>Table14224553[[#This Row],[NO]]-Table14[[#This Row],[NO]]</f>
        <v>#REF!</v>
      </c>
      <c r="AC47" s="44" t="e">
        <f>Table14224553[[#This Row],[PL]]-Table14[[#This Row],[PL]]</f>
        <v>#REF!</v>
      </c>
      <c r="AD47" s="44" t="e">
        <f>Table14224553[[#This Row],[PT]]-Table14[[#This Row],[PT]]</f>
        <v>#REF!</v>
      </c>
      <c r="AE47" s="44" t="e">
        <f>Table14224553[[#This Row],[RO]]-Table14[[#This Row],[RO]]</f>
        <v>#REF!</v>
      </c>
      <c r="AF47" s="44" t="e">
        <f>Table14224553[[#This Row],[SE]]-Table14[[#This Row],[SE]]</f>
        <v>#REF!</v>
      </c>
      <c r="AG47" s="44" t="e">
        <f>Table14224553[[#This Row],[SI]]-Table14[[#This Row],[SI]]</f>
        <v>#REF!</v>
      </c>
      <c r="AH47" s="44" t="e">
        <f>Table14224553[[#This Row],[SK]]-Table14[[#This Row],[SK]]</f>
        <v>#REF!</v>
      </c>
      <c r="AI47" s="44" t="e">
        <f>Table14224553[[#This Row],[GB-NIR]]-Table14[[#This Row],[GBNIR]]</f>
        <v>#REF!</v>
      </c>
      <c r="AJ47" s="44"/>
      <c r="AK47" s="44" t="e">
        <f>'ECAT Statistics Mar24'!AJ47-A_BackendPGCompil_March2025!AJ47</f>
        <v>#REF!</v>
      </c>
    </row>
    <row r="48" spans="1:39" ht="15.75" thickBot="1">
      <c r="C48" s="166"/>
      <c r="D48" s="2" t="s">
        <v>11</v>
      </c>
      <c r="E48" s="23" t="s">
        <v>101</v>
      </c>
      <c r="F48" s="44" t="e">
        <f>Table14224553[[#This Row],[AT]]-Table14[[#This Row],[AT]]</f>
        <v>#REF!</v>
      </c>
      <c r="G48" s="44" t="e">
        <f>Table14224553[[#This Row],[BE]]-Table14[[#This Row],[BE]]</f>
        <v>#REF!</v>
      </c>
      <c r="H48" s="44" t="e">
        <f>Table14224553[[#This Row],[BG]]-Table14[[#This Row],[BG]]</f>
        <v>#REF!</v>
      </c>
      <c r="I48" s="44" t="e">
        <f>Table14224553[[#This Row],[CY]]-Table14[[#This Row],[CY]]</f>
        <v>#REF!</v>
      </c>
      <c r="J48" s="44" t="e">
        <f>Table14224553[[#This Row],[CZ]]-Table14[[#This Row],[CZ]]</f>
        <v>#REF!</v>
      </c>
      <c r="K48" s="44" t="e">
        <f>Table14224553[[#This Row],[DE]]-Table14[[#This Row],[DE]]</f>
        <v>#REF!</v>
      </c>
      <c r="L48" s="44" t="e">
        <f>Table14224553[[#This Row],[DK]]-Table14[[#This Row],[DK]]</f>
        <v>#REF!</v>
      </c>
      <c r="M48" s="44" t="e">
        <f>Table14224553[[#This Row],[EE]]-Table14[[#This Row],[EE]]</f>
        <v>#REF!</v>
      </c>
      <c r="N48" s="44" t="e">
        <f>Table14224553[[#This Row],[EL]]-Table14[[#This Row],[EL]]</f>
        <v>#REF!</v>
      </c>
      <c r="O48" s="44">
        <f>Table14224553[[#This Row],[ES]]-Table14[[#This Row],[ES]]</f>
        <v>0</v>
      </c>
      <c r="P48" s="44" t="e">
        <f>Table14224553[[#This Row],[FI]]-Table14[[#This Row],[FI]]</f>
        <v>#REF!</v>
      </c>
      <c r="Q48" s="44" t="e">
        <f>Table14224553[[#This Row],[FR]]-Table14[[#This Row],[FR]]</f>
        <v>#REF!</v>
      </c>
      <c r="R48" s="44" t="e">
        <f>Table14224553[[#This Row],[HR ]]-Table14[[#This Row],[HR]]</f>
        <v>#REF!</v>
      </c>
      <c r="S48" s="44" t="e">
        <f>Table14224553[[#This Row],[HU]]-Table14[[#This Row],[HU]]</f>
        <v>#REF!</v>
      </c>
      <c r="T48" s="44" t="e">
        <f>Table14224553[[#This Row],[IE]]-Table14[[#This Row],[IE]]</f>
        <v>#REF!</v>
      </c>
      <c r="U48" s="44" t="e">
        <f>Table14224553[[#This Row],[IS]]-Table14[[#This Row],[IS]]</f>
        <v>#REF!</v>
      </c>
      <c r="V48" s="44" t="e">
        <f>Table14224553[[#This Row],[IT]]-Table14[[#This Row],[IT]]</f>
        <v>#REF!</v>
      </c>
      <c r="W48" s="44" t="e">
        <f>Table14224553[[#This Row],[LT]]-Table14[[#This Row],[LT]]</f>
        <v>#REF!</v>
      </c>
      <c r="X48" s="44" t="e">
        <f>Table14224553[[#This Row],[LU]]-Table14[[#This Row],[LU]]</f>
        <v>#REF!</v>
      </c>
      <c r="Y48" s="44" t="e">
        <f>Table14224553[[#This Row],[LV]]-Table14[[#This Row],[LV]]</f>
        <v>#REF!</v>
      </c>
      <c r="Z48" s="44" t="e">
        <f>Table14224553[[#This Row],[MT]]-Table14[[#This Row],[MT]]</f>
        <v>#REF!</v>
      </c>
      <c r="AA48" s="44" t="e">
        <f>Table14224553[[#This Row],[NL]]-Table14[[#This Row],[NL]]</f>
        <v>#REF!</v>
      </c>
      <c r="AB48" s="44" t="e">
        <f>Table14224553[[#This Row],[NO]]-Table14[[#This Row],[NO]]</f>
        <v>#REF!</v>
      </c>
      <c r="AC48" s="44" t="e">
        <f>Table14224553[[#This Row],[PL]]-Table14[[#This Row],[PL]]</f>
        <v>#REF!</v>
      </c>
      <c r="AD48" s="44" t="e">
        <f>Table14224553[[#This Row],[PT]]-Table14[[#This Row],[PT]]</f>
        <v>#REF!</v>
      </c>
      <c r="AE48" s="44" t="e">
        <f>Table14224553[[#This Row],[RO]]-Table14[[#This Row],[RO]]</f>
        <v>#REF!</v>
      </c>
      <c r="AF48" s="44" t="e">
        <f>Table14224553[[#This Row],[SE]]-Table14[[#This Row],[SE]]</f>
        <v>#REF!</v>
      </c>
      <c r="AG48" s="44" t="e">
        <f>Table14224553[[#This Row],[SI]]-Table14[[#This Row],[SI]]</f>
        <v>#REF!</v>
      </c>
      <c r="AH48" s="44" t="e">
        <f>Table14224553[[#This Row],[SK]]-Table14[[#This Row],[SK]]</f>
        <v>#REF!</v>
      </c>
      <c r="AI48" s="44" t="e">
        <f>Table14224553[[#This Row],[GB-NIR]]-Table14[[#This Row],[GBNIR]]</f>
        <v>#REF!</v>
      </c>
      <c r="AJ48" s="44"/>
      <c r="AK48" s="44" t="e">
        <f>'ECAT Statistics Mar24'!AJ48-A_BackendPGCompil_March2025!AJ48</f>
        <v>#REF!</v>
      </c>
    </row>
    <row r="49" spans="3:39" ht="15.75" thickTop="1">
      <c r="C49" s="46" t="s">
        <v>12</v>
      </c>
      <c r="D49" s="2" t="s">
        <v>13</v>
      </c>
      <c r="E49" s="23" t="s">
        <v>102</v>
      </c>
      <c r="F49" s="44" t="e">
        <f>Table14224553[[#This Row],[AT]]-Table14[[#This Row],[AT]]</f>
        <v>#REF!</v>
      </c>
      <c r="G49" s="44" t="e">
        <f>Table14224553[[#This Row],[BE]]-Table14[[#This Row],[BE]]</f>
        <v>#REF!</v>
      </c>
      <c r="H49" s="44" t="e">
        <f>Table14224553[[#This Row],[BG]]-Table14[[#This Row],[BG]]</f>
        <v>#REF!</v>
      </c>
      <c r="I49" s="44" t="e">
        <f>Table14224553[[#This Row],[CY]]-Table14[[#This Row],[CY]]</f>
        <v>#REF!</v>
      </c>
      <c r="J49" s="44" t="e">
        <f>Table14224553[[#This Row],[CZ]]-Table14[[#This Row],[CZ]]</f>
        <v>#REF!</v>
      </c>
      <c r="K49" s="44" t="e">
        <f>Table14224553[[#This Row],[DE]]-Table14[[#This Row],[DE]]</f>
        <v>#REF!</v>
      </c>
      <c r="L49" s="44" t="e">
        <f>Table14224553[[#This Row],[DK]]-Table14[[#This Row],[DK]]</f>
        <v>#REF!</v>
      </c>
      <c r="M49" s="44" t="e">
        <f>Table14224553[[#This Row],[EE]]-Table14[[#This Row],[EE]]</f>
        <v>#REF!</v>
      </c>
      <c r="N49" s="44" t="e">
        <f>Table14224553[[#This Row],[EL]]-Table14[[#This Row],[EL]]</f>
        <v>#REF!</v>
      </c>
      <c r="O49" s="44">
        <f>Table14224553[[#This Row],[ES]]-Table14[[#This Row],[ES]]</f>
        <v>534</v>
      </c>
      <c r="P49" s="44" t="e">
        <f>Table14224553[[#This Row],[FI]]-Table14[[#This Row],[FI]]</f>
        <v>#REF!</v>
      </c>
      <c r="Q49" s="44" t="e">
        <f>Table14224553[[#This Row],[FR]]-Table14[[#This Row],[FR]]</f>
        <v>#REF!</v>
      </c>
      <c r="R49" s="44" t="e">
        <f>Table14224553[[#This Row],[HR ]]-Table14[[#This Row],[HR]]</f>
        <v>#REF!</v>
      </c>
      <c r="S49" s="44" t="e">
        <f>Table14224553[[#This Row],[HU]]-Table14[[#This Row],[HU]]</f>
        <v>#REF!</v>
      </c>
      <c r="T49" s="44" t="e">
        <f>Table14224553[[#This Row],[IE]]-Table14[[#This Row],[IE]]</f>
        <v>#REF!</v>
      </c>
      <c r="U49" s="44" t="e">
        <f>Table14224553[[#This Row],[IS]]-Table14[[#This Row],[IS]]</f>
        <v>#REF!</v>
      </c>
      <c r="V49" s="44" t="e">
        <f>Table14224553[[#This Row],[IT]]-Table14[[#This Row],[IT]]</f>
        <v>#REF!</v>
      </c>
      <c r="W49" s="44" t="e">
        <f>Table14224553[[#This Row],[LT]]-Table14[[#This Row],[LT]]</f>
        <v>#REF!</v>
      </c>
      <c r="X49" s="44" t="e">
        <f>Table14224553[[#This Row],[LU]]-Table14[[#This Row],[LU]]</f>
        <v>#REF!</v>
      </c>
      <c r="Y49" s="44" t="e">
        <f>Table14224553[[#This Row],[LV]]-Table14[[#This Row],[LV]]</f>
        <v>#REF!</v>
      </c>
      <c r="Z49" s="44" t="e">
        <f>Table14224553[[#This Row],[MT]]-Table14[[#This Row],[MT]]</f>
        <v>#REF!</v>
      </c>
      <c r="AA49" s="44" t="e">
        <f>Table14224553[[#This Row],[NL]]-Table14[[#This Row],[NL]]</f>
        <v>#REF!</v>
      </c>
      <c r="AB49" s="44" t="e">
        <f>Table14224553[[#This Row],[NO]]-Table14[[#This Row],[NO]]</f>
        <v>#REF!</v>
      </c>
      <c r="AC49" s="44" t="e">
        <f>Table14224553[[#This Row],[PL]]-Table14[[#This Row],[PL]]</f>
        <v>#REF!</v>
      </c>
      <c r="AD49" s="44" t="e">
        <f>Table14224553[[#This Row],[PT]]-Table14[[#This Row],[PT]]</f>
        <v>#REF!</v>
      </c>
      <c r="AE49" s="44" t="e">
        <f>Table14224553[[#This Row],[RO]]-Table14[[#This Row],[RO]]</f>
        <v>#REF!</v>
      </c>
      <c r="AF49" s="44" t="e">
        <f>Table14224553[[#This Row],[SE]]-Table14[[#This Row],[SE]]</f>
        <v>#REF!</v>
      </c>
      <c r="AG49" s="44" t="e">
        <f>Table14224553[[#This Row],[SI]]-Table14[[#This Row],[SI]]</f>
        <v>#REF!</v>
      </c>
      <c r="AH49" s="44" t="e">
        <f>Table14224553[[#This Row],[SK]]-Table14[[#This Row],[SK]]</f>
        <v>#REF!</v>
      </c>
      <c r="AI49" s="44" t="e">
        <f>Table14224553[[#This Row],[GB-NIR]]-Table14[[#This Row],[GBNIR]]</f>
        <v>#REF!</v>
      </c>
      <c r="AJ49" s="44"/>
      <c r="AK49" s="44" t="e">
        <f>'ECAT Statistics Mar24'!AJ49-A_BackendPGCompil_March2025!AJ49</f>
        <v>#REF!</v>
      </c>
    </row>
    <row r="50" spans="3:39" ht="15.75" thickBot="1">
      <c r="C50" s="104" t="s">
        <v>30</v>
      </c>
      <c r="D50" s="2" t="s">
        <v>130</v>
      </c>
      <c r="E50" s="23"/>
      <c r="F50" s="44" t="e">
        <f>Table14224553[[#This Row],[AT]]-Table14[[#This Row],[AT]]</f>
        <v>#REF!</v>
      </c>
      <c r="G50" s="44" t="e">
        <f>Table14224553[[#This Row],[BE]]-Table14[[#This Row],[BE]]</f>
        <v>#REF!</v>
      </c>
      <c r="H50" s="44" t="e">
        <f>Table14224553[[#This Row],[BG]]-Table14[[#This Row],[BG]]</f>
        <v>#REF!</v>
      </c>
      <c r="I50" s="44" t="e">
        <f>Table14224553[[#This Row],[CY]]-Table14[[#This Row],[CY]]</f>
        <v>#REF!</v>
      </c>
      <c r="J50" s="44" t="e">
        <f>Table14224553[[#This Row],[CZ]]-Table14[[#This Row],[CZ]]</f>
        <v>#REF!</v>
      </c>
      <c r="K50" s="44" t="e">
        <f>Table14224553[[#This Row],[DE]]-Table14[[#This Row],[DE]]</f>
        <v>#REF!</v>
      </c>
      <c r="L50" s="44" t="e">
        <f>Table14224553[[#This Row],[DK]]-Table14[[#This Row],[DK]]</f>
        <v>#REF!</v>
      </c>
      <c r="M50" s="44" t="e">
        <f>Table14224553[[#This Row],[EE]]-Table14[[#This Row],[EE]]</f>
        <v>#REF!</v>
      </c>
      <c r="N50" s="44" t="e">
        <f>Table14224553[[#This Row],[EL]]-Table14[[#This Row],[EL]]</f>
        <v>#REF!</v>
      </c>
      <c r="O50" s="44">
        <f>Table14224553[[#This Row],[ES]]-Table14[[#This Row],[ES]]</f>
        <v>3</v>
      </c>
      <c r="P50" s="44" t="e">
        <f>Table14224553[[#This Row],[FI]]-Table14[[#This Row],[FI]]</f>
        <v>#REF!</v>
      </c>
      <c r="Q50" s="44" t="e">
        <f>Table14224553[[#This Row],[FR]]-Table14[[#This Row],[FR]]</f>
        <v>#REF!</v>
      </c>
      <c r="R50" s="44" t="e">
        <f>Table14224553[[#This Row],[HR ]]-Table14[[#This Row],[HR]]</f>
        <v>#REF!</v>
      </c>
      <c r="S50" s="44" t="e">
        <f>Table14224553[[#This Row],[HU]]-Table14[[#This Row],[HU]]</f>
        <v>#REF!</v>
      </c>
      <c r="T50" s="44" t="e">
        <f>Table14224553[[#This Row],[IE]]-Table14[[#This Row],[IE]]</f>
        <v>#REF!</v>
      </c>
      <c r="U50" s="44" t="e">
        <f>Table14224553[[#This Row],[IS]]-Table14[[#This Row],[IS]]</f>
        <v>#REF!</v>
      </c>
      <c r="V50" s="44" t="e">
        <f>Table14224553[[#This Row],[IT]]-Table14[[#This Row],[IT]]</f>
        <v>#REF!</v>
      </c>
      <c r="W50" s="44" t="e">
        <f>Table14224553[[#This Row],[LT]]-Table14[[#This Row],[LT]]</f>
        <v>#REF!</v>
      </c>
      <c r="X50" s="44" t="e">
        <f>Table14224553[[#This Row],[LU]]-Table14[[#This Row],[LU]]</f>
        <v>#REF!</v>
      </c>
      <c r="Y50" s="44" t="e">
        <f>Table14224553[[#This Row],[LV]]-Table14[[#This Row],[LV]]</f>
        <v>#REF!</v>
      </c>
      <c r="Z50" s="44" t="e">
        <f>Table14224553[[#This Row],[MT]]-Table14[[#This Row],[MT]]</f>
        <v>#REF!</v>
      </c>
      <c r="AA50" s="44" t="e">
        <f>Table14224553[[#This Row],[NL]]-Table14[[#This Row],[NL]]</f>
        <v>#REF!</v>
      </c>
      <c r="AB50" s="44" t="e">
        <f>Table14224553[[#This Row],[NO]]-Table14[[#This Row],[NO]]</f>
        <v>#REF!</v>
      </c>
      <c r="AC50" s="44" t="e">
        <f>Table14224553[[#This Row],[PL]]-Table14[[#This Row],[PL]]</f>
        <v>#REF!</v>
      </c>
      <c r="AD50" s="44" t="e">
        <f>Table14224553[[#This Row],[PT]]-Table14[[#This Row],[PT]]</f>
        <v>#REF!</v>
      </c>
      <c r="AE50" s="44" t="e">
        <f>Table14224553[[#This Row],[RO]]-Table14[[#This Row],[RO]]</f>
        <v>#REF!</v>
      </c>
      <c r="AF50" s="44" t="e">
        <f>Table14224553[[#This Row],[SE]]-Table14[[#This Row],[SE]]</f>
        <v>#REF!</v>
      </c>
      <c r="AG50" s="44" t="e">
        <f>Table14224553[[#This Row],[SI]]-Table14[[#This Row],[SI]]</f>
        <v>#REF!</v>
      </c>
      <c r="AH50" s="44" t="e">
        <f>Table14224553[[#This Row],[SK]]-Table14[[#This Row],[SK]]</f>
        <v>#REF!</v>
      </c>
      <c r="AI50" s="44" t="e">
        <f>Table14224553[[#This Row],[GB-NIR]]-Table14[[#This Row],[GBNIR]]</f>
        <v>#REF!</v>
      </c>
      <c r="AJ50" s="44"/>
      <c r="AK50" s="44" t="e">
        <f>'ECAT Statistics Mar24'!AJ50-A_BackendPGCompil_March2025!AJ50</f>
        <v>#REF!</v>
      </c>
    </row>
    <row r="51" spans="3:39" ht="15.75" thickTop="1">
      <c r="C51" s="165" t="s">
        <v>29</v>
      </c>
      <c r="D51" s="2" t="s">
        <v>24</v>
      </c>
      <c r="E51" s="2"/>
      <c r="F51" s="44" t="e">
        <f>Table14224553[[#This Row],[AT]]-Table14[[#This Row],[AT]]</f>
        <v>#REF!</v>
      </c>
      <c r="G51" s="44" t="e">
        <f>Table14224553[[#This Row],[BE]]-Table14[[#This Row],[BE]]</f>
        <v>#REF!</v>
      </c>
      <c r="H51" s="44" t="e">
        <f>Table14224553[[#This Row],[BG]]-Table14[[#This Row],[BG]]</f>
        <v>#REF!</v>
      </c>
      <c r="I51" s="44" t="e">
        <f>Table14224553[[#This Row],[CY]]-Table14[[#This Row],[CY]]</f>
        <v>#REF!</v>
      </c>
      <c r="J51" s="44" t="e">
        <f>Table14224553[[#This Row],[CZ]]-Table14[[#This Row],[CZ]]</f>
        <v>#REF!</v>
      </c>
      <c r="K51" s="44" t="e">
        <f>Table14224553[[#This Row],[DE]]-Table14[[#This Row],[DE]]</f>
        <v>#REF!</v>
      </c>
      <c r="L51" s="44" t="e">
        <f>Table14224553[[#This Row],[DK]]-Table14[[#This Row],[DK]]</f>
        <v>#REF!</v>
      </c>
      <c r="M51" s="44" t="e">
        <f>Table14224553[[#This Row],[EE]]-Table14[[#This Row],[EE]]</f>
        <v>#REF!</v>
      </c>
      <c r="N51" s="44" t="e">
        <f>Table14224553[[#This Row],[EL]]-Table14[[#This Row],[EL]]</f>
        <v>#REF!</v>
      </c>
      <c r="O51" s="44">
        <f>Table14224553[[#This Row],[ES]]-Table14[[#This Row],[ES]]</f>
        <v>4</v>
      </c>
      <c r="P51" s="44" t="e">
        <f>Table14224553[[#This Row],[FI]]-Table14[[#This Row],[FI]]</f>
        <v>#REF!</v>
      </c>
      <c r="Q51" s="44" t="e">
        <f>Table14224553[[#This Row],[FR]]-Table14[[#This Row],[FR]]</f>
        <v>#REF!</v>
      </c>
      <c r="R51" s="44" t="e">
        <f>Table14224553[[#This Row],[HR ]]-Table14[[#This Row],[HR]]</f>
        <v>#REF!</v>
      </c>
      <c r="S51" s="44" t="e">
        <f>Table14224553[[#This Row],[HU]]-Table14[[#This Row],[HU]]</f>
        <v>#REF!</v>
      </c>
      <c r="T51" s="44" t="e">
        <f>Table14224553[[#This Row],[IE]]-Table14[[#This Row],[IE]]</f>
        <v>#REF!</v>
      </c>
      <c r="U51" s="44" t="e">
        <f>Table14224553[[#This Row],[IS]]-Table14[[#This Row],[IS]]</f>
        <v>#REF!</v>
      </c>
      <c r="V51" s="44" t="e">
        <f>Table14224553[[#This Row],[IT]]-Table14[[#This Row],[IT]]</f>
        <v>#REF!</v>
      </c>
      <c r="W51" s="44" t="e">
        <f>Table14224553[[#This Row],[LT]]-Table14[[#This Row],[LT]]</f>
        <v>#REF!</v>
      </c>
      <c r="X51" s="44" t="e">
        <f>Table14224553[[#This Row],[LU]]-Table14[[#This Row],[LU]]</f>
        <v>#REF!</v>
      </c>
      <c r="Y51" s="44" t="e">
        <f>Table14224553[[#This Row],[LV]]-Table14[[#This Row],[LV]]</f>
        <v>#REF!</v>
      </c>
      <c r="Z51" s="44" t="e">
        <f>Table14224553[[#This Row],[MT]]-Table14[[#This Row],[MT]]</f>
        <v>#REF!</v>
      </c>
      <c r="AA51" s="44" t="e">
        <f>Table14224553[[#This Row],[NL]]-Table14[[#This Row],[NL]]</f>
        <v>#REF!</v>
      </c>
      <c r="AB51" s="44" t="e">
        <f>Table14224553[[#This Row],[NO]]-Table14[[#This Row],[NO]]</f>
        <v>#REF!</v>
      </c>
      <c r="AC51" s="44" t="e">
        <f>Table14224553[[#This Row],[PL]]-Table14[[#This Row],[PL]]</f>
        <v>#REF!</v>
      </c>
      <c r="AD51" s="44" t="e">
        <f>Table14224553[[#This Row],[PT]]-Table14[[#This Row],[PT]]</f>
        <v>#REF!</v>
      </c>
      <c r="AE51" s="44" t="e">
        <f>Table14224553[[#This Row],[RO]]-Table14[[#This Row],[RO]]</f>
        <v>#REF!</v>
      </c>
      <c r="AF51" s="44" t="e">
        <f>Table14224553[[#This Row],[SE]]-Table14[[#This Row],[SE]]</f>
        <v>#REF!</v>
      </c>
      <c r="AG51" s="44" t="e">
        <f>Table14224553[[#This Row],[SI]]-Table14[[#This Row],[SI]]</f>
        <v>#REF!</v>
      </c>
      <c r="AH51" s="44" t="e">
        <f>Table14224553[[#This Row],[SK]]-Table14[[#This Row],[SK]]</f>
        <v>#REF!</v>
      </c>
      <c r="AI51" s="44" t="e">
        <f>Table14224553[[#This Row],[GB-NIR]]-Table14[[#This Row],[GBNIR]]</f>
        <v>#REF!</v>
      </c>
      <c r="AJ51" s="44"/>
      <c r="AK51" s="44" t="e">
        <f>'ECAT Statistics Mar24'!AJ51-A_BackendPGCompil_March2025!AJ51</f>
        <v>#REF!</v>
      </c>
    </row>
    <row r="52" spans="3:39" ht="15.75" thickBot="1">
      <c r="C52" s="166"/>
      <c r="D52" s="2" t="s">
        <v>173</v>
      </c>
      <c r="E52" s="77" t="s">
        <v>104</v>
      </c>
      <c r="F52" s="44" t="e">
        <f>Table14224553[[#This Row],[AT]]-Table14[[#This Row],[AT]]</f>
        <v>#REF!</v>
      </c>
      <c r="G52" s="44" t="e">
        <f>Table14224553[[#This Row],[BE]]-Table14[[#This Row],[BE]]</f>
        <v>#REF!</v>
      </c>
      <c r="H52" s="44" t="e">
        <f>Table14224553[[#This Row],[BG]]-Table14[[#This Row],[BG]]</f>
        <v>#REF!</v>
      </c>
      <c r="I52" s="44" t="e">
        <f>Table14224553[[#This Row],[CY]]-Table14[[#This Row],[CY]]</f>
        <v>#REF!</v>
      </c>
      <c r="J52" s="44" t="e">
        <f>Table14224553[[#This Row],[CZ]]-Table14[[#This Row],[CZ]]</f>
        <v>#REF!</v>
      </c>
      <c r="K52" s="44" t="e">
        <f>Table14224553[[#This Row],[DE]]-Table14[[#This Row],[DE]]</f>
        <v>#REF!</v>
      </c>
      <c r="L52" s="44" t="e">
        <f>Table14224553[[#This Row],[DK]]-Table14[[#This Row],[DK]]</f>
        <v>#REF!</v>
      </c>
      <c r="M52" s="44" t="e">
        <f>Table14224553[[#This Row],[EE]]-Table14[[#This Row],[EE]]</f>
        <v>#REF!</v>
      </c>
      <c r="N52" s="44" t="e">
        <f>Table14224553[[#This Row],[EL]]-Table14[[#This Row],[EL]]</f>
        <v>#REF!</v>
      </c>
      <c r="O52" s="44">
        <f>Table14224553[[#This Row],[ES]]-Table14[[#This Row],[ES]]</f>
        <v>16</v>
      </c>
      <c r="P52" s="44" t="e">
        <f>Table14224553[[#This Row],[FI]]-Table14[[#This Row],[FI]]</f>
        <v>#REF!</v>
      </c>
      <c r="Q52" s="44" t="e">
        <f>Table14224553[[#This Row],[FR]]-Table14[[#This Row],[FR]]</f>
        <v>#REF!</v>
      </c>
      <c r="R52" s="44" t="e">
        <f>Table14224553[[#This Row],[HR ]]-Table14[[#This Row],[HR]]</f>
        <v>#REF!</v>
      </c>
      <c r="S52" s="44" t="e">
        <f>Table14224553[[#This Row],[HU]]-Table14[[#This Row],[HU]]</f>
        <v>#REF!</v>
      </c>
      <c r="T52" s="44" t="e">
        <f>Table14224553[[#This Row],[IE]]-Table14[[#This Row],[IE]]</f>
        <v>#REF!</v>
      </c>
      <c r="U52" s="44" t="e">
        <f>Table14224553[[#This Row],[IS]]-Table14[[#This Row],[IS]]</f>
        <v>#REF!</v>
      </c>
      <c r="V52" s="44" t="e">
        <f>Table14224553[[#This Row],[IT]]-Table14[[#This Row],[IT]]</f>
        <v>#REF!</v>
      </c>
      <c r="W52" s="44" t="e">
        <f>Table14224553[[#This Row],[LT]]-Table14[[#This Row],[LT]]</f>
        <v>#REF!</v>
      </c>
      <c r="X52" s="44" t="e">
        <f>Table14224553[[#This Row],[LU]]-Table14[[#This Row],[LU]]</f>
        <v>#REF!</v>
      </c>
      <c r="Y52" s="44" t="e">
        <f>Table14224553[[#This Row],[LV]]-Table14[[#This Row],[LV]]</f>
        <v>#REF!</v>
      </c>
      <c r="Z52" s="44" t="e">
        <f>Table14224553[[#This Row],[MT]]-Table14[[#This Row],[MT]]</f>
        <v>#REF!</v>
      </c>
      <c r="AA52" s="44" t="e">
        <f>Table14224553[[#This Row],[NL]]-Table14[[#This Row],[NL]]</f>
        <v>#REF!</v>
      </c>
      <c r="AB52" s="44" t="e">
        <f>Table14224553[[#This Row],[NO]]-Table14[[#This Row],[NO]]</f>
        <v>#REF!</v>
      </c>
      <c r="AC52" s="44" t="e">
        <f>Table14224553[[#This Row],[PL]]-Table14[[#This Row],[PL]]</f>
        <v>#REF!</v>
      </c>
      <c r="AD52" s="44" t="e">
        <f>Table14224553[[#This Row],[PT]]-Table14[[#This Row],[PT]]</f>
        <v>#REF!</v>
      </c>
      <c r="AE52" s="44" t="e">
        <f>Table14224553[[#This Row],[RO]]-Table14[[#This Row],[RO]]</f>
        <v>#REF!</v>
      </c>
      <c r="AF52" s="44" t="e">
        <f>Table14224553[[#This Row],[SE]]-Table14[[#This Row],[SE]]</f>
        <v>#REF!</v>
      </c>
      <c r="AG52" s="44" t="e">
        <f>Table14224553[[#This Row],[SI]]-Table14[[#This Row],[SI]]</f>
        <v>#REF!</v>
      </c>
      <c r="AH52" s="44" t="e">
        <f>Table14224553[[#This Row],[SK]]-Table14[[#This Row],[SK]]</f>
        <v>#REF!</v>
      </c>
      <c r="AI52" s="44" t="e">
        <f>Table14224553[[#This Row],[GB-NIR]]-Table14[[#This Row],[GBNIR]]</f>
        <v>#REF!</v>
      </c>
      <c r="AJ52" s="44"/>
      <c r="AK52" s="44" t="e">
        <f>'ECAT Statistics Mar24'!AJ52-A_BackendPGCompil_March2025!AJ52</f>
        <v>#REF!</v>
      </c>
    </row>
    <row r="53" spans="3:39" ht="15.75" thickTop="1">
      <c r="C53" s="165" t="s">
        <v>16</v>
      </c>
      <c r="D53" s="2" t="s">
        <v>26</v>
      </c>
      <c r="E53" s="23" t="s">
        <v>105</v>
      </c>
      <c r="F53" s="44" t="e">
        <f>Table14224553[[#This Row],[AT]]-Table14[[#This Row],[AT]]</f>
        <v>#REF!</v>
      </c>
      <c r="G53" s="44" t="e">
        <f>Table14224553[[#This Row],[BE]]-Table14[[#This Row],[BE]]</f>
        <v>#REF!</v>
      </c>
      <c r="H53" s="44" t="e">
        <f>Table14224553[[#This Row],[BG]]-Table14[[#This Row],[BG]]</f>
        <v>#REF!</v>
      </c>
      <c r="I53" s="44" t="e">
        <f>Table14224553[[#This Row],[CY]]-Table14[[#This Row],[CY]]</f>
        <v>#REF!</v>
      </c>
      <c r="J53" s="44" t="e">
        <f>Table14224553[[#This Row],[CZ]]-Table14[[#This Row],[CZ]]</f>
        <v>#REF!</v>
      </c>
      <c r="K53" s="44" t="e">
        <f>Table14224553[[#This Row],[DE]]-Table14[[#This Row],[DE]]</f>
        <v>#REF!</v>
      </c>
      <c r="L53" s="44" t="e">
        <f>Table14224553[[#This Row],[DK]]-Table14[[#This Row],[DK]]</f>
        <v>#REF!</v>
      </c>
      <c r="M53" s="44" t="e">
        <f>Table14224553[[#This Row],[EE]]-Table14[[#This Row],[EE]]</f>
        <v>#REF!</v>
      </c>
      <c r="N53" s="44" t="e">
        <f>Table14224553[[#This Row],[EL]]-Table14[[#This Row],[EL]]</f>
        <v>#REF!</v>
      </c>
      <c r="O53" s="44">
        <f>Table14224553[[#This Row],[ES]]-Table14[[#This Row],[ES]]</f>
        <v>103</v>
      </c>
      <c r="P53" s="44" t="e">
        <f>Table14224553[[#This Row],[FI]]-Table14[[#This Row],[FI]]</f>
        <v>#REF!</v>
      </c>
      <c r="Q53" s="44" t="e">
        <f>Table14224553[[#This Row],[FR]]-Table14[[#This Row],[FR]]</f>
        <v>#REF!</v>
      </c>
      <c r="R53" s="44" t="e">
        <f>Table14224553[[#This Row],[HR ]]-Table14[[#This Row],[HR]]</f>
        <v>#REF!</v>
      </c>
      <c r="S53" s="44" t="e">
        <f>Table14224553[[#This Row],[HU]]-Table14[[#This Row],[HU]]</f>
        <v>#REF!</v>
      </c>
      <c r="T53" s="44" t="e">
        <f>Table14224553[[#This Row],[IE]]-Table14[[#This Row],[IE]]</f>
        <v>#REF!</v>
      </c>
      <c r="U53" s="44" t="e">
        <f>Table14224553[[#This Row],[IS]]-Table14[[#This Row],[IS]]</f>
        <v>#REF!</v>
      </c>
      <c r="V53" s="44" t="e">
        <f>Table14224553[[#This Row],[IT]]-Table14[[#This Row],[IT]]</f>
        <v>#REF!</v>
      </c>
      <c r="W53" s="44" t="e">
        <f>Table14224553[[#This Row],[LT]]-Table14[[#This Row],[LT]]</f>
        <v>#REF!</v>
      </c>
      <c r="X53" s="44" t="e">
        <f>Table14224553[[#This Row],[LU]]-Table14[[#This Row],[LU]]</f>
        <v>#REF!</v>
      </c>
      <c r="Y53" s="44" t="e">
        <f>Table14224553[[#This Row],[LV]]-Table14[[#This Row],[LV]]</f>
        <v>#REF!</v>
      </c>
      <c r="Z53" s="44" t="e">
        <f>Table14224553[[#This Row],[MT]]-Table14[[#This Row],[MT]]</f>
        <v>#REF!</v>
      </c>
      <c r="AA53" s="44" t="e">
        <f>Table14224553[[#This Row],[NL]]-Table14[[#This Row],[NL]]</f>
        <v>#REF!</v>
      </c>
      <c r="AB53" s="44" t="e">
        <f>Table14224553[[#This Row],[NO]]-Table14[[#This Row],[NO]]</f>
        <v>#REF!</v>
      </c>
      <c r="AC53" s="44" t="e">
        <f>Table14224553[[#This Row],[PL]]-Table14[[#This Row],[PL]]</f>
        <v>#REF!</v>
      </c>
      <c r="AD53" s="44" t="e">
        <f>Table14224553[[#This Row],[PT]]-Table14[[#This Row],[PT]]</f>
        <v>#REF!</v>
      </c>
      <c r="AE53" s="44" t="e">
        <f>Table14224553[[#This Row],[RO]]-Table14[[#This Row],[RO]]</f>
        <v>#REF!</v>
      </c>
      <c r="AF53" s="44" t="e">
        <f>Table14224553[[#This Row],[SE]]-Table14[[#This Row],[SE]]</f>
        <v>#REF!</v>
      </c>
      <c r="AG53" s="44" t="e">
        <f>Table14224553[[#This Row],[SI]]-Table14[[#This Row],[SI]]</f>
        <v>#REF!</v>
      </c>
      <c r="AH53" s="44" t="e">
        <f>Table14224553[[#This Row],[SK]]-Table14[[#This Row],[SK]]</f>
        <v>#REF!</v>
      </c>
      <c r="AI53" s="44" t="e">
        <f>Table14224553[[#This Row],[GB-NIR]]-Table14[[#This Row],[GBNIR]]</f>
        <v>#REF!</v>
      </c>
      <c r="AJ53" s="44"/>
      <c r="AK53" s="44" t="e">
        <f>'ECAT Statistics Mar24'!AJ53-A_BackendPGCompil_March2025!AJ53</f>
        <v>#REF!</v>
      </c>
    </row>
    <row r="54" spans="3:39" ht="15.75" thickBot="1">
      <c r="C54" s="166"/>
      <c r="D54" s="2" t="s">
        <v>25</v>
      </c>
      <c r="E54" s="23" t="s">
        <v>106</v>
      </c>
      <c r="F54" s="44" t="e">
        <f>Table14224553[[#This Row],[AT]]-Table14[[#This Row],[AT]]</f>
        <v>#REF!</v>
      </c>
      <c r="G54" s="44" t="e">
        <f>Table14224553[[#This Row],[BE]]-Table14[[#This Row],[BE]]</f>
        <v>#REF!</v>
      </c>
      <c r="H54" s="44" t="e">
        <f>Table14224553[[#This Row],[BG]]-Table14[[#This Row],[BG]]</f>
        <v>#REF!</v>
      </c>
      <c r="I54" s="44" t="e">
        <f>Table14224553[[#This Row],[CY]]-Table14[[#This Row],[CY]]</f>
        <v>#REF!</v>
      </c>
      <c r="J54" s="44" t="e">
        <f>Table14224553[[#This Row],[CZ]]-Table14[[#This Row],[CZ]]</f>
        <v>#REF!</v>
      </c>
      <c r="K54" s="44" t="e">
        <f>Table14224553[[#This Row],[DE]]-Table14[[#This Row],[DE]]</f>
        <v>#REF!</v>
      </c>
      <c r="L54" s="44" t="e">
        <f>Table14224553[[#This Row],[DK]]-Table14[[#This Row],[DK]]</f>
        <v>#REF!</v>
      </c>
      <c r="M54" s="44" t="e">
        <f>Table14224553[[#This Row],[EE]]-Table14[[#This Row],[EE]]</f>
        <v>#REF!</v>
      </c>
      <c r="N54" s="44" t="e">
        <f>Table14224553[[#This Row],[EL]]-Table14[[#This Row],[EL]]</f>
        <v>#REF!</v>
      </c>
      <c r="O54" s="44">
        <f>Table14224553[[#This Row],[ES]]-Table14[[#This Row],[ES]]</f>
        <v>0</v>
      </c>
      <c r="P54" s="44" t="e">
        <f>Table14224553[[#This Row],[FI]]-Table14[[#This Row],[FI]]</f>
        <v>#REF!</v>
      </c>
      <c r="Q54" s="44" t="e">
        <f>Table14224553[[#This Row],[FR]]-Table14[[#This Row],[FR]]</f>
        <v>#REF!</v>
      </c>
      <c r="R54" s="44" t="e">
        <f>Table14224553[[#This Row],[HR ]]-Table14[[#This Row],[HR]]</f>
        <v>#REF!</v>
      </c>
      <c r="S54" s="44" t="e">
        <f>Table14224553[[#This Row],[HU]]-Table14[[#This Row],[HU]]</f>
        <v>#REF!</v>
      </c>
      <c r="T54" s="44" t="e">
        <f>Table14224553[[#This Row],[IE]]-Table14[[#This Row],[IE]]</f>
        <v>#REF!</v>
      </c>
      <c r="U54" s="44" t="e">
        <f>Table14224553[[#This Row],[IS]]-Table14[[#This Row],[IS]]</f>
        <v>#REF!</v>
      </c>
      <c r="V54" s="44" t="e">
        <f>Table14224553[[#This Row],[IT]]-Table14[[#This Row],[IT]]</f>
        <v>#REF!</v>
      </c>
      <c r="W54" s="44" t="e">
        <f>Table14224553[[#This Row],[LT]]-Table14[[#This Row],[LT]]</f>
        <v>#REF!</v>
      </c>
      <c r="X54" s="44" t="e">
        <f>Table14224553[[#This Row],[LU]]-Table14[[#This Row],[LU]]</f>
        <v>#REF!</v>
      </c>
      <c r="Y54" s="44" t="e">
        <f>Table14224553[[#This Row],[LV]]-Table14[[#This Row],[LV]]</f>
        <v>#REF!</v>
      </c>
      <c r="Z54" s="44" t="e">
        <f>Table14224553[[#This Row],[MT]]-Table14[[#This Row],[MT]]</f>
        <v>#REF!</v>
      </c>
      <c r="AA54" s="44" t="e">
        <f>Table14224553[[#This Row],[NL]]-Table14[[#This Row],[NL]]</f>
        <v>#REF!</v>
      </c>
      <c r="AB54" s="44" t="e">
        <f>Table14224553[[#This Row],[NO]]-Table14[[#This Row],[NO]]</f>
        <v>#REF!</v>
      </c>
      <c r="AC54" s="44" t="e">
        <f>Table14224553[[#This Row],[PL]]-Table14[[#This Row],[PL]]</f>
        <v>#REF!</v>
      </c>
      <c r="AD54" s="44" t="e">
        <f>Table14224553[[#This Row],[PT]]-Table14[[#This Row],[PT]]</f>
        <v>#REF!</v>
      </c>
      <c r="AE54" s="44" t="e">
        <f>Table14224553[[#This Row],[RO]]-Table14[[#This Row],[RO]]</f>
        <v>#REF!</v>
      </c>
      <c r="AF54" s="44" t="e">
        <f>Table14224553[[#This Row],[SE]]-Table14[[#This Row],[SE]]</f>
        <v>#REF!</v>
      </c>
      <c r="AG54" s="44" t="e">
        <f>Table14224553[[#This Row],[SI]]-Table14[[#This Row],[SI]]</f>
        <v>#REF!</v>
      </c>
      <c r="AH54" s="44" t="e">
        <f>Table14224553[[#This Row],[SK]]-Table14[[#This Row],[SK]]</f>
        <v>#REF!</v>
      </c>
      <c r="AI54" s="44" t="e">
        <f>Table14224553[[#This Row],[GB-NIR]]-Table14[[#This Row],[GBNIR]]</f>
        <v>#REF!</v>
      </c>
      <c r="AJ54" s="44"/>
      <c r="AK54" s="44" t="e">
        <f>'ECAT Statistics Mar24'!AJ54-A_BackendPGCompil_March2025!AJ54</f>
        <v>#REF!</v>
      </c>
    </row>
    <row r="55" spans="3:39" ht="16.5" thickTop="1" thickBot="1">
      <c r="C55" s="105"/>
      <c r="D55" s="2" t="s">
        <v>180</v>
      </c>
      <c r="E55" s="23" t="s">
        <v>107</v>
      </c>
      <c r="F55" s="44" t="e">
        <f>Table14224553[[#This Row],[AT]]-Table14[[#This Row],[AT]]</f>
        <v>#REF!</v>
      </c>
      <c r="G55" s="44" t="e">
        <f>Table14224553[[#This Row],[BE]]-Table14[[#This Row],[BE]]</f>
        <v>#REF!</v>
      </c>
      <c r="H55" s="44" t="e">
        <f>Table14224553[[#This Row],[BG]]-Table14[[#This Row],[BG]]</f>
        <v>#REF!</v>
      </c>
      <c r="I55" s="44" t="e">
        <f>Table14224553[[#This Row],[CY]]-Table14[[#This Row],[CY]]</f>
        <v>#REF!</v>
      </c>
      <c r="J55" s="44" t="e">
        <f>Table14224553[[#This Row],[CZ]]-Table14[[#This Row],[CZ]]</f>
        <v>#REF!</v>
      </c>
      <c r="K55" s="44" t="e">
        <f>Table14224553[[#This Row],[DE]]-Table14[[#This Row],[DE]]</f>
        <v>#REF!</v>
      </c>
      <c r="L55" s="44" t="e">
        <f>Table14224553[[#This Row],[DK]]-Table14[[#This Row],[DK]]</f>
        <v>#REF!</v>
      </c>
      <c r="M55" s="44" t="e">
        <f>Table14224553[[#This Row],[EE]]-Table14[[#This Row],[EE]]</f>
        <v>#REF!</v>
      </c>
      <c r="N55" s="44" t="e">
        <f>Table14224553[[#This Row],[EL]]-Table14[[#This Row],[EL]]</f>
        <v>#REF!</v>
      </c>
      <c r="O55" s="44">
        <f>Table14224553[[#This Row],[ES]]-Table14[[#This Row],[ES]]</f>
        <v>2</v>
      </c>
      <c r="P55" s="44" t="e">
        <f>Table14224553[[#This Row],[FI]]-Table14[[#This Row],[FI]]</f>
        <v>#REF!</v>
      </c>
      <c r="Q55" s="44" t="e">
        <f>Table14224553[[#This Row],[FR]]-Table14[[#This Row],[FR]]</f>
        <v>#REF!</v>
      </c>
      <c r="R55" s="44" t="e">
        <f>Table14224553[[#This Row],[HR ]]-Table14[[#This Row],[HR]]</f>
        <v>#REF!</v>
      </c>
      <c r="S55" s="44" t="e">
        <f>Table14224553[[#This Row],[HU]]-Table14[[#This Row],[HU]]</f>
        <v>#REF!</v>
      </c>
      <c r="T55" s="44" t="e">
        <f>Table14224553[[#This Row],[IE]]-Table14[[#This Row],[IE]]</f>
        <v>#REF!</v>
      </c>
      <c r="U55" s="44" t="e">
        <f>Table14224553[[#This Row],[IS]]-Table14[[#This Row],[IS]]</f>
        <v>#REF!</v>
      </c>
      <c r="V55" s="44" t="e">
        <f>Table14224553[[#This Row],[IT]]-Table14[[#This Row],[IT]]</f>
        <v>#REF!</v>
      </c>
      <c r="W55" s="44" t="e">
        <f>Table14224553[[#This Row],[LT]]-Table14[[#This Row],[LT]]</f>
        <v>#REF!</v>
      </c>
      <c r="X55" s="44" t="e">
        <f>Table14224553[[#This Row],[LU]]-Table14[[#This Row],[LU]]</f>
        <v>#REF!</v>
      </c>
      <c r="Y55" s="44" t="e">
        <f>Table14224553[[#This Row],[LV]]-Table14[[#This Row],[LV]]</f>
        <v>#REF!</v>
      </c>
      <c r="Z55" s="44" t="e">
        <f>Table14224553[[#This Row],[MT]]-Table14[[#This Row],[MT]]</f>
        <v>#REF!</v>
      </c>
      <c r="AA55" s="44" t="e">
        <f>Table14224553[[#This Row],[NL]]-Table14[[#This Row],[NL]]</f>
        <v>#REF!</v>
      </c>
      <c r="AB55" s="44" t="e">
        <f>Table14224553[[#This Row],[NO]]-Table14[[#This Row],[NO]]</f>
        <v>#REF!</v>
      </c>
      <c r="AC55" s="44" t="e">
        <f>Table14224553[[#This Row],[PL]]-Table14[[#This Row],[PL]]</f>
        <v>#REF!</v>
      </c>
      <c r="AD55" s="44" t="e">
        <f>Table14224553[[#This Row],[PT]]-Table14[[#This Row],[PT]]</f>
        <v>#REF!</v>
      </c>
      <c r="AE55" s="44" t="e">
        <f>Table14224553[[#This Row],[RO]]-Table14[[#This Row],[RO]]</f>
        <v>#REF!</v>
      </c>
      <c r="AF55" s="44" t="e">
        <f>Table14224553[[#This Row],[SE]]-Table14[[#This Row],[SE]]</f>
        <v>#REF!</v>
      </c>
      <c r="AG55" s="44" t="e">
        <f>Table14224553[[#This Row],[SI]]-Table14[[#This Row],[SI]]</f>
        <v>#REF!</v>
      </c>
      <c r="AH55" s="44" t="e">
        <f>Table14224553[[#This Row],[SK]]-Table14[[#This Row],[SK]]</f>
        <v>#REF!</v>
      </c>
      <c r="AI55" s="44" t="e">
        <f>Table14224553[[#This Row],[GB-NIR]]-Table14[[#This Row],[GBNIR]]</f>
        <v>#REF!</v>
      </c>
      <c r="AJ55" s="44"/>
      <c r="AK55" s="44"/>
    </row>
    <row r="56" spans="3:39" ht="15.75" thickTop="1">
      <c r="C56" s="46" t="s">
        <v>19</v>
      </c>
      <c r="D56" s="2" t="s">
        <v>20</v>
      </c>
      <c r="E56" s="23" t="s">
        <v>108</v>
      </c>
      <c r="F56" s="44" t="e">
        <f>Table14224553[[#This Row],[AT]]-Table14[[#This Row],[AT]]</f>
        <v>#REF!</v>
      </c>
      <c r="G56" s="44" t="e">
        <f>Table14224553[[#This Row],[BE]]-Table14[[#This Row],[BE]]</f>
        <v>#REF!</v>
      </c>
      <c r="H56" s="44" t="e">
        <f>Table14224553[[#This Row],[BG]]-Table14[[#This Row],[BG]]</f>
        <v>#REF!</v>
      </c>
      <c r="I56" s="44" t="e">
        <f>Table14224553[[#This Row],[CY]]-Table14[[#This Row],[CY]]</f>
        <v>#REF!</v>
      </c>
      <c r="J56" s="44" t="e">
        <f>Table14224553[[#This Row],[CZ]]-Table14[[#This Row],[CZ]]</f>
        <v>#REF!</v>
      </c>
      <c r="K56" s="44" t="e">
        <f>Table14224553[[#This Row],[DE]]-Table14[[#This Row],[DE]]</f>
        <v>#REF!</v>
      </c>
      <c r="L56" s="44" t="e">
        <f>Table14224553[[#This Row],[DK]]-Table14[[#This Row],[DK]]</f>
        <v>#REF!</v>
      </c>
      <c r="M56" s="44" t="e">
        <f>Table14224553[[#This Row],[EE]]-Table14[[#This Row],[EE]]</f>
        <v>#REF!</v>
      </c>
      <c r="N56" s="44" t="e">
        <f>Table14224553[[#This Row],[EL]]-Table14[[#This Row],[EL]]</f>
        <v>#REF!</v>
      </c>
      <c r="O56" s="44">
        <f>Table14224553[[#This Row],[ES]]-Table14[[#This Row],[ES]]</f>
        <v>30</v>
      </c>
      <c r="P56" s="44" t="e">
        <f>Table14224553[[#This Row],[FI]]-Table14[[#This Row],[FI]]</f>
        <v>#REF!</v>
      </c>
      <c r="Q56" s="44" t="e">
        <f>Table14224553[[#This Row],[FR]]-Table14[[#This Row],[FR]]</f>
        <v>#REF!</v>
      </c>
      <c r="R56" s="44" t="e">
        <f>Table14224553[[#This Row],[HR ]]-Table14[[#This Row],[HR]]</f>
        <v>#REF!</v>
      </c>
      <c r="S56" s="44" t="e">
        <f>Table14224553[[#This Row],[HU]]-Table14[[#This Row],[HU]]</f>
        <v>#REF!</v>
      </c>
      <c r="T56" s="44" t="e">
        <f>Table14224553[[#This Row],[IE]]-Table14[[#This Row],[IE]]</f>
        <v>#REF!</v>
      </c>
      <c r="U56" s="44" t="e">
        <f>Table14224553[[#This Row],[IS]]-Table14[[#This Row],[IS]]</f>
        <v>#REF!</v>
      </c>
      <c r="V56" s="44" t="e">
        <f>Table14224553[[#This Row],[IT]]-Table14[[#This Row],[IT]]</f>
        <v>#REF!</v>
      </c>
      <c r="W56" s="44" t="e">
        <f>Table14224553[[#This Row],[LT]]-Table14[[#This Row],[LT]]</f>
        <v>#REF!</v>
      </c>
      <c r="X56" s="44" t="e">
        <f>Table14224553[[#This Row],[LU]]-Table14[[#This Row],[LU]]</f>
        <v>#REF!</v>
      </c>
      <c r="Y56" s="44" t="e">
        <f>Table14224553[[#This Row],[LV]]-Table14[[#This Row],[LV]]</f>
        <v>#REF!</v>
      </c>
      <c r="Z56" s="44" t="e">
        <f>Table14224553[[#This Row],[MT]]-Table14[[#This Row],[MT]]</f>
        <v>#REF!</v>
      </c>
      <c r="AA56" s="44" t="e">
        <f>Table14224553[[#This Row],[NL]]-Table14[[#This Row],[NL]]</f>
        <v>#REF!</v>
      </c>
      <c r="AB56" s="44" t="e">
        <f>Table14224553[[#This Row],[NO]]-Table14[[#This Row],[NO]]</f>
        <v>#REF!</v>
      </c>
      <c r="AC56" s="44" t="e">
        <f>Table14224553[[#This Row],[PL]]-Table14[[#This Row],[PL]]</f>
        <v>#REF!</v>
      </c>
      <c r="AD56" s="44" t="e">
        <f>Table14224553[[#This Row],[PT]]-Table14[[#This Row],[PT]]</f>
        <v>#REF!</v>
      </c>
      <c r="AE56" s="44" t="e">
        <f>Table14224553[[#This Row],[RO]]-Table14[[#This Row],[RO]]</f>
        <v>#REF!</v>
      </c>
      <c r="AF56" s="44" t="e">
        <f>Table14224553[[#This Row],[SE]]-Table14[[#This Row],[SE]]</f>
        <v>#REF!</v>
      </c>
      <c r="AG56" s="44" t="e">
        <f>Table14224553[[#This Row],[SI]]-Table14[[#This Row],[SI]]</f>
        <v>#REF!</v>
      </c>
      <c r="AH56" s="44" t="e">
        <f>Table14224553[[#This Row],[SK]]-Table14[[#This Row],[SK]]</f>
        <v>#REF!</v>
      </c>
      <c r="AI56" s="44" t="e">
        <f>Table14224553[[#This Row],[GB-NIR]]-Table14[[#This Row],[GBNIR]]</f>
        <v>#REF!</v>
      </c>
      <c r="AJ56" s="44"/>
      <c r="AK56" s="44" t="e">
        <f>'ECAT Statistics Mar24'!AJ56-A_BackendPGCompil_March2025!AJ56</f>
        <v>#REF!</v>
      </c>
    </row>
    <row r="57" spans="3:39">
      <c r="C57" s="167"/>
      <c r="D57" s="2" t="s">
        <v>128</v>
      </c>
      <c r="E57" s="23" t="s">
        <v>111</v>
      </c>
      <c r="F57" s="44" t="e">
        <f>Table14224553[[#This Row],[AT]]-Table14[[#This Row],[AT]]</f>
        <v>#REF!</v>
      </c>
      <c r="G57" s="44" t="e">
        <f>Table14224553[[#This Row],[BE]]-Table14[[#This Row],[BE]]</f>
        <v>#REF!</v>
      </c>
      <c r="H57" s="44" t="e">
        <f>Table14224553[[#This Row],[BG]]-Table14[[#This Row],[BG]]</f>
        <v>#REF!</v>
      </c>
      <c r="I57" s="44" t="e">
        <f>Table14224553[[#This Row],[CY]]-Table14[[#This Row],[CY]]</f>
        <v>#REF!</v>
      </c>
      <c r="J57" s="44" t="e">
        <f>Table14224553[[#This Row],[CZ]]-Table14[[#This Row],[CZ]]</f>
        <v>#REF!</v>
      </c>
      <c r="K57" s="44" t="e">
        <f>Table14224553[[#This Row],[DE]]-Table14[[#This Row],[DE]]</f>
        <v>#REF!</v>
      </c>
      <c r="L57" s="44" t="e">
        <f>Table14224553[[#This Row],[DK]]-Table14[[#This Row],[DK]]</f>
        <v>#REF!</v>
      </c>
      <c r="M57" s="44" t="e">
        <f>Table14224553[[#This Row],[EE]]-Table14[[#This Row],[EE]]</f>
        <v>#REF!</v>
      </c>
      <c r="N57" s="44" t="e">
        <f>Table14224553[[#This Row],[EL]]-Table14[[#This Row],[EL]]</f>
        <v>#REF!</v>
      </c>
      <c r="O57" s="44">
        <f>Table14224553[[#This Row],[ES]]-Table14[[#This Row],[ES]]</f>
        <v>34</v>
      </c>
      <c r="P57" s="44" t="e">
        <f>Table14224553[[#This Row],[FI]]-Table14[[#This Row],[FI]]</f>
        <v>#REF!</v>
      </c>
      <c r="Q57" s="44" t="e">
        <f>Table14224553[[#This Row],[FR]]-Table14[[#This Row],[FR]]</f>
        <v>#REF!</v>
      </c>
      <c r="R57" s="44" t="e">
        <f>Table14224553[[#This Row],[HR ]]-Table14[[#This Row],[HR]]</f>
        <v>#REF!</v>
      </c>
      <c r="S57" s="44" t="e">
        <f>Table14224553[[#This Row],[HU]]-Table14[[#This Row],[HU]]</f>
        <v>#REF!</v>
      </c>
      <c r="T57" s="44" t="e">
        <f>Table14224553[[#This Row],[IE]]-Table14[[#This Row],[IE]]</f>
        <v>#REF!</v>
      </c>
      <c r="U57" s="44" t="e">
        <f>Table14224553[[#This Row],[IS]]-Table14[[#This Row],[IS]]</f>
        <v>#REF!</v>
      </c>
      <c r="V57" s="44" t="e">
        <f>Table14224553[[#This Row],[IT]]-Table14[[#This Row],[IT]]</f>
        <v>#REF!</v>
      </c>
      <c r="W57" s="44" t="e">
        <f>Table14224553[[#This Row],[LT]]-Table14[[#This Row],[LT]]</f>
        <v>#REF!</v>
      </c>
      <c r="X57" s="44" t="e">
        <f>Table14224553[[#This Row],[LU]]-Table14[[#This Row],[LU]]</f>
        <v>#REF!</v>
      </c>
      <c r="Y57" s="44" t="e">
        <f>Table14224553[[#This Row],[LV]]-Table14[[#This Row],[LV]]</f>
        <v>#REF!</v>
      </c>
      <c r="Z57" s="44" t="e">
        <f>Table14224553[[#This Row],[MT]]-Table14[[#This Row],[MT]]</f>
        <v>#REF!</v>
      </c>
      <c r="AA57" s="44" t="e">
        <f>Table14224553[[#This Row],[NL]]-Table14[[#This Row],[NL]]</f>
        <v>#REF!</v>
      </c>
      <c r="AB57" s="44" t="e">
        <f>Table14224553[[#This Row],[NO]]-Table14[[#This Row],[NO]]</f>
        <v>#REF!</v>
      </c>
      <c r="AC57" s="44" t="e">
        <f>Table14224553[[#This Row],[PL]]-Table14[[#This Row],[PL]]</f>
        <v>#REF!</v>
      </c>
      <c r="AD57" s="44" t="e">
        <f>Table14224553[[#This Row],[PT]]-Table14[[#This Row],[PT]]</f>
        <v>#REF!</v>
      </c>
      <c r="AE57" s="44" t="e">
        <f>Table14224553[[#This Row],[RO]]-Table14[[#This Row],[RO]]</f>
        <v>#REF!</v>
      </c>
      <c r="AF57" s="44" t="e">
        <f>Table14224553[[#This Row],[SE]]-Table14[[#This Row],[SE]]</f>
        <v>#REF!</v>
      </c>
      <c r="AG57" s="44" t="e">
        <f>Table14224553[[#This Row],[SI]]-Table14[[#This Row],[SI]]</f>
        <v>#REF!</v>
      </c>
      <c r="AH57" s="44" t="e">
        <f>Table14224553[[#This Row],[SK]]-Table14[[#This Row],[SK]]</f>
        <v>#REF!</v>
      </c>
      <c r="AI57" s="44" t="e">
        <f>Table14224553[[#This Row],[GB-NIR]]-Table14[[#This Row],[GBNIR]]</f>
        <v>#REF!</v>
      </c>
      <c r="AJ57" s="44"/>
      <c r="AK57" s="44" t="e">
        <f>'ECAT Statistics Mar24'!AJ57-A_BackendPGCompil_March2025!AJ57</f>
        <v>#REF!</v>
      </c>
    </row>
    <row r="58" spans="3:39">
      <c r="C58" s="167"/>
      <c r="D58" s="2" t="s">
        <v>129</v>
      </c>
      <c r="E58" s="23" t="s">
        <v>112</v>
      </c>
      <c r="F58" s="44" t="e">
        <f>Table14224553[[#This Row],[AT]]-Table14[[#This Row],[AT]]</f>
        <v>#REF!</v>
      </c>
      <c r="G58" s="44" t="e">
        <f>Table14224553[[#This Row],[BE]]-Table14[[#This Row],[BE]]</f>
        <v>#REF!</v>
      </c>
      <c r="H58" s="44" t="e">
        <f>Table14224553[[#This Row],[BG]]-Table14[[#This Row],[BG]]</f>
        <v>#REF!</v>
      </c>
      <c r="I58" s="44" t="e">
        <f>Table14224553[[#This Row],[CY]]-Table14[[#This Row],[CY]]</f>
        <v>#REF!</v>
      </c>
      <c r="J58" s="44" t="e">
        <f>Table14224553[[#This Row],[CZ]]-Table14[[#This Row],[CZ]]</f>
        <v>#REF!</v>
      </c>
      <c r="K58" s="44" t="e">
        <f>Table14224553[[#This Row],[DE]]-Table14[[#This Row],[DE]]</f>
        <v>#REF!</v>
      </c>
      <c r="L58" s="44" t="e">
        <f>Table14224553[[#This Row],[DK]]-Table14[[#This Row],[DK]]</f>
        <v>#REF!</v>
      </c>
      <c r="M58" s="44" t="e">
        <f>Table14224553[[#This Row],[EE]]-Table14[[#This Row],[EE]]</f>
        <v>#REF!</v>
      </c>
      <c r="N58" s="44" t="e">
        <f>Table14224553[[#This Row],[EL]]-Table14[[#This Row],[EL]]</f>
        <v>#REF!</v>
      </c>
      <c r="O58" s="44">
        <f>Table14224553[[#This Row],[ES]]-Table14[[#This Row],[ES]]</f>
        <v>1556</v>
      </c>
      <c r="P58" s="44" t="e">
        <f>Table14224553[[#This Row],[FI]]-Table14[[#This Row],[FI]]</f>
        <v>#REF!</v>
      </c>
      <c r="Q58" s="44" t="e">
        <f>Table14224553[[#This Row],[FR]]-Table14[[#This Row],[FR]]</f>
        <v>#REF!</v>
      </c>
      <c r="R58" s="44" t="e">
        <f>Table14224553[[#This Row],[HR ]]-Table14[[#This Row],[HR]]</f>
        <v>#REF!</v>
      </c>
      <c r="S58" s="44" t="e">
        <f>Table14224553[[#This Row],[HU]]-Table14[[#This Row],[HU]]</f>
        <v>#REF!</v>
      </c>
      <c r="T58" s="44" t="e">
        <f>Table14224553[[#This Row],[IE]]-Table14[[#This Row],[IE]]</f>
        <v>#REF!</v>
      </c>
      <c r="U58" s="44" t="e">
        <f>Table14224553[[#This Row],[IS]]-Table14[[#This Row],[IS]]</f>
        <v>#REF!</v>
      </c>
      <c r="V58" s="44" t="e">
        <f>Table14224553[[#This Row],[IT]]-Table14[[#This Row],[IT]]</f>
        <v>#REF!</v>
      </c>
      <c r="W58" s="44" t="e">
        <f>Table14224553[[#This Row],[LT]]-Table14[[#This Row],[LT]]</f>
        <v>#REF!</v>
      </c>
      <c r="X58" s="44" t="e">
        <f>Table14224553[[#This Row],[LU]]-Table14[[#This Row],[LU]]</f>
        <v>#REF!</v>
      </c>
      <c r="Y58" s="44" t="e">
        <f>Table14224553[[#This Row],[LV]]-Table14[[#This Row],[LV]]</f>
        <v>#REF!</v>
      </c>
      <c r="Z58" s="44" t="e">
        <f>Table14224553[[#This Row],[MT]]-Table14[[#This Row],[MT]]</f>
        <v>#REF!</v>
      </c>
      <c r="AA58" s="44" t="e">
        <f>Table14224553[[#This Row],[NL]]-Table14[[#This Row],[NL]]</f>
        <v>#REF!</v>
      </c>
      <c r="AB58" s="44" t="e">
        <f>Table14224553[[#This Row],[NO]]-Table14[[#This Row],[NO]]</f>
        <v>#REF!</v>
      </c>
      <c r="AC58" s="44" t="e">
        <f>Table14224553[[#This Row],[PL]]-Table14[[#This Row],[PL]]</f>
        <v>#REF!</v>
      </c>
      <c r="AD58" s="44" t="e">
        <f>Table14224553[[#This Row],[PT]]-Table14[[#This Row],[PT]]</f>
        <v>#REF!</v>
      </c>
      <c r="AE58" s="44" t="e">
        <f>Table14224553[[#This Row],[RO]]-Table14[[#This Row],[RO]]</f>
        <v>#REF!</v>
      </c>
      <c r="AF58" s="44" t="e">
        <f>Table14224553[[#This Row],[SE]]-Table14[[#This Row],[SE]]</f>
        <v>#REF!</v>
      </c>
      <c r="AG58" s="44" t="e">
        <f>Table14224553[[#This Row],[SI]]-Table14[[#This Row],[SI]]</f>
        <v>#REF!</v>
      </c>
      <c r="AH58" s="44" t="e">
        <f>Table14224553[[#This Row],[SK]]-Table14[[#This Row],[SK]]</f>
        <v>#REF!</v>
      </c>
      <c r="AI58" s="44" t="e">
        <f>Table14224553[[#This Row],[GB-NIR]]-Table14[[#This Row],[GBNIR]]</f>
        <v>#REF!</v>
      </c>
      <c r="AJ58" s="44"/>
      <c r="AK58" s="44" t="e">
        <f>'ECAT Statistics Mar24'!AJ58-A_BackendPGCompil_March2025!AJ58</f>
        <v>#REF!</v>
      </c>
      <c r="AL58" s="1"/>
    </row>
    <row r="59" spans="3:39" ht="25.5" thickBot="1">
      <c r="C59" s="47"/>
      <c r="D59" s="2" t="s">
        <v>131</v>
      </c>
      <c r="E59" s="23" t="s">
        <v>132</v>
      </c>
      <c r="F59" s="44" t="e">
        <f>Table14224553[[#This Row],[AT]]-Table14[[#This Row],[AT]]</f>
        <v>#REF!</v>
      </c>
      <c r="G59" s="44" t="e">
        <f>Table14224553[[#This Row],[BE]]-Table14[[#This Row],[BE]]</f>
        <v>#REF!</v>
      </c>
      <c r="H59" s="44" t="e">
        <f>Table14224553[[#This Row],[BG]]-Table14[[#This Row],[BG]]</f>
        <v>#REF!</v>
      </c>
      <c r="I59" s="44" t="e">
        <f>Table14224553[[#This Row],[CY]]-Table14[[#This Row],[CY]]</f>
        <v>#REF!</v>
      </c>
      <c r="J59" s="44" t="e">
        <f>Table14224553[[#This Row],[CZ]]-Table14[[#This Row],[CZ]]</f>
        <v>#REF!</v>
      </c>
      <c r="K59" s="44" t="e">
        <f>Table14224553[[#This Row],[DE]]-Table14[[#This Row],[DE]]</f>
        <v>#REF!</v>
      </c>
      <c r="L59" s="44" t="e">
        <f>Table14224553[[#This Row],[DK]]-Table14[[#This Row],[DK]]</f>
        <v>#REF!</v>
      </c>
      <c r="M59" s="44" t="e">
        <f>Table14224553[[#This Row],[EE]]-Table14[[#This Row],[EE]]</f>
        <v>#REF!</v>
      </c>
      <c r="N59" s="44" t="e">
        <f>Table14224553[[#This Row],[EL]]-Table14[[#This Row],[EL]]</f>
        <v>#REF!</v>
      </c>
      <c r="O59" s="44">
        <f>Table14224553[[#This Row],[ES]]-Table14[[#This Row],[ES]]</f>
        <v>0</v>
      </c>
      <c r="P59" s="44" t="e">
        <f>Table14224553[[#This Row],[FI]]-Table14[[#This Row],[FI]]</f>
        <v>#REF!</v>
      </c>
      <c r="Q59" s="44" t="e">
        <f>Table14224553[[#This Row],[FR]]-Table14[[#This Row],[FR]]</f>
        <v>#REF!</v>
      </c>
      <c r="R59" s="44" t="e">
        <f>Table14224553[[#This Row],[HR ]]-Table14[[#This Row],[HR]]</f>
        <v>#REF!</v>
      </c>
      <c r="S59" s="44" t="e">
        <f>Table14224553[[#This Row],[HU]]-Table14[[#This Row],[HU]]</f>
        <v>#REF!</v>
      </c>
      <c r="T59" s="44" t="e">
        <f>Table14224553[[#This Row],[IE]]-Table14[[#This Row],[IE]]</f>
        <v>#REF!</v>
      </c>
      <c r="U59" s="44" t="e">
        <f>Table14224553[[#This Row],[IS]]-Table14[[#This Row],[IS]]</f>
        <v>#REF!</v>
      </c>
      <c r="V59" s="44" t="e">
        <f>Table14224553[[#This Row],[IT]]-Table14[[#This Row],[IT]]</f>
        <v>#REF!</v>
      </c>
      <c r="W59" s="44" t="e">
        <f>Table14224553[[#This Row],[LT]]-Table14[[#This Row],[LT]]</f>
        <v>#REF!</v>
      </c>
      <c r="X59" s="44" t="e">
        <f>Table14224553[[#This Row],[LU]]-Table14[[#This Row],[LU]]</f>
        <v>#REF!</v>
      </c>
      <c r="Y59" s="44" t="e">
        <f>Table14224553[[#This Row],[LV]]-Table14[[#This Row],[LV]]</f>
        <v>#REF!</v>
      </c>
      <c r="Z59" s="44" t="e">
        <f>Table14224553[[#This Row],[MT]]-Table14[[#This Row],[MT]]</f>
        <v>#REF!</v>
      </c>
      <c r="AA59" s="44" t="e">
        <f>Table14224553[[#This Row],[NL]]-Table14[[#This Row],[NL]]</f>
        <v>#REF!</v>
      </c>
      <c r="AB59" s="44" t="e">
        <f>Table14224553[[#This Row],[NO]]-Table14[[#This Row],[NO]]</f>
        <v>#REF!</v>
      </c>
      <c r="AC59" s="44" t="e">
        <f>Table14224553[[#This Row],[PL]]-Table14[[#This Row],[PL]]</f>
        <v>#REF!</v>
      </c>
      <c r="AD59" s="44" t="e">
        <f>Table14224553[[#This Row],[PT]]-Table14[[#This Row],[PT]]</f>
        <v>#REF!</v>
      </c>
      <c r="AE59" s="44" t="e">
        <f>Table14224553[[#This Row],[RO]]-Table14[[#This Row],[RO]]</f>
        <v>#REF!</v>
      </c>
      <c r="AF59" s="44" t="e">
        <f>Table14224553[[#This Row],[SE]]-Table14[[#This Row],[SE]]</f>
        <v>#REF!</v>
      </c>
      <c r="AG59" s="44" t="e">
        <f>Table14224553[[#This Row],[SI]]-Table14[[#This Row],[SI]]</f>
        <v>#REF!</v>
      </c>
      <c r="AH59" s="44" t="e">
        <f>Table14224553[[#This Row],[SK]]-Table14[[#This Row],[SK]]</f>
        <v>#REF!</v>
      </c>
      <c r="AI59" s="44" t="e">
        <f>Table14224553[[#This Row],[GB-NIR]]-Table14[[#This Row],[GBNIR]]</f>
        <v>#REF!</v>
      </c>
      <c r="AJ59" s="44"/>
      <c r="AK59" s="44" t="e">
        <f>'ECAT Statistics Mar24'!AJ59-A_BackendPGCompil_March2025!AJ59</f>
        <v>#REF!</v>
      </c>
    </row>
    <row r="60" spans="3:39" ht="25.5" thickTop="1" thickBot="1">
      <c r="C60" s="46" t="s">
        <v>27</v>
      </c>
      <c r="D60" s="2" t="s">
        <v>28</v>
      </c>
      <c r="E60" s="23" t="s">
        <v>113</v>
      </c>
      <c r="F60" s="44" t="e">
        <f>Table14224553[[#This Row],[AT]]-Table14[[#This Row],[AT]]</f>
        <v>#REF!</v>
      </c>
      <c r="G60" s="44" t="e">
        <f>Table14224553[[#This Row],[BE]]-Table14[[#This Row],[BE]]</f>
        <v>#REF!</v>
      </c>
      <c r="H60" s="44" t="e">
        <f>Table14224553[[#This Row],[BG]]-Table14[[#This Row],[BG]]</f>
        <v>#REF!</v>
      </c>
      <c r="I60" s="44" t="e">
        <f>Table14224553[[#This Row],[CY]]-Table14[[#This Row],[CY]]</f>
        <v>#REF!</v>
      </c>
      <c r="J60" s="44" t="e">
        <f>Table14224553[[#This Row],[CZ]]-Table14[[#This Row],[CZ]]</f>
        <v>#REF!</v>
      </c>
      <c r="K60" s="44" t="e">
        <f>Table14224553[[#This Row],[DE]]-Table14[[#This Row],[DE]]</f>
        <v>#REF!</v>
      </c>
      <c r="L60" s="44" t="e">
        <f>Table14224553[[#This Row],[DK]]-Table14[[#This Row],[DK]]</f>
        <v>#REF!</v>
      </c>
      <c r="M60" s="44" t="e">
        <f>Table14224553[[#This Row],[EE]]-Table14[[#This Row],[EE]]</f>
        <v>#REF!</v>
      </c>
      <c r="N60" s="44" t="e">
        <f>Table14224553[[#This Row],[EL]]-Table14[[#This Row],[EL]]</f>
        <v>#REF!</v>
      </c>
      <c r="O60" s="44">
        <f>Table14224553[[#This Row],[ES]]-Table14[[#This Row],[ES]]</f>
        <v>58</v>
      </c>
      <c r="P60" s="44" t="e">
        <f>Table14224553[[#This Row],[FI]]-Table14[[#This Row],[FI]]</f>
        <v>#REF!</v>
      </c>
      <c r="Q60" s="44" t="e">
        <f>Table14224553[[#This Row],[FR]]-Table14[[#This Row],[FR]]</f>
        <v>#REF!</v>
      </c>
      <c r="R60" s="44" t="e">
        <f>Table14224553[[#This Row],[HR ]]-Table14[[#This Row],[HR]]</f>
        <v>#REF!</v>
      </c>
      <c r="S60" s="44" t="e">
        <f>Table14224553[[#This Row],[HU]]-Table14[[#This Row],[HU]]</f>
        <v>#REF!</v>
      </c>
      <c r="T60" s="44" t="e">
        <f>Table14224553[[#This Row],[IE]]-Table14[[#This Row],[IE]]</f>
        <v>#REF!</v>
      </c>
      <c r="U60" s="44" t="e">
        <f>Table14224553[[#This Row],[IS]]-Table14[[#This Row],[IS]]</f>
        <v>#REF!</v>
      </c>
      <c r="V60" s="44" t="e">
        <f>Table14224553[[#This Row],[IT]]-Table14[[#This Row],[IT]]</f>
        <v>#REF!</v>
      </c>
      <c r="W60" s="44" t="e">
        <f>Table14224553[[#This Row],[LT]]-Table14[[#This Row],[LT]]</f>
        <v>#REF!</v>
      </c>
      <c r="X60" s="44" t="e">
        <f>Table14224553[[#This Row],[LU]]-Table14[[#This Row],[LU]]</f>
        <v>#REF!</v>
      </c>
      <c r="Y60" s="44" t="e">
        <f>Table14224553[[#This Row],[LV]]-Table14[[#This Row],[LV]]</f>
        <v>#REF!</v>
      </c>
      <c r="Z60" s="44" t="e">
        <f>Table14224553[[#This Row],[MT]]-Table14[[#This Row],[MT]]</f>
        <v>#REF!</v>
      </c>
      <c r="AA60" s="44" t="e">
        <f>Table14224553[[#This Row],[NL]]-Table14[[#This Row],[NL]]</f>
        <v>#REF!</v>
      </c>
      <c r="AB60" s="44" t="e">
        <f>Table14224553[[#This Row],[NO]]-Table14[[#This Row],[NO]]</f>
        <v>#REF!</v>
      </c>
      <c r="AC60" s="44" t="e">
        <f>Table14224553[[#This Row],[PL]]-Table14[[#This Row],[PL]]</f>
        <v>#REF!</v>
      </c>
      <c r="AD60" s="44" t="e">
        <f>Table14224553[[#This Row],[PT]]-Table14[[#This Row],[PT]]</f>
        <v>#REF!</v>
      </c>
      <c r="AE60" s="44" t="e">
        <f>Table14224553[[#This Row],[RO]]-Table14[[#This Row],[RO]]</f>
        <v>#REF!</v>
      </c>
      <c r="AF60" s="44" t="e">
        <f>Table14224553[[#This Row],[SE]]-Table14[[#This Row],[SE]]</f>
        <v>#REF!</v>
      </c>
      <c r="AG60" s="44" t="e">
        <f>Table14224553[[#This Row],[SI]]-Table14[[#This Row],[SI]]</f>
        <v>#REF!</v>
      </c>
      <c r="AH60" s="44" t="e">
        <f>Table14224553[[#This Row],[SK]]-Table14[[#This Row],[SK]]</f>
        <v>#REF!</v>
      </c>
      <c r="AI60" s="44" t="e">
        <f>Table14224553[[#This Row],[GB-NIR]]-Table14[[#This Row],[GBNIR]]</f>
        <v>#REF!</v>
      </c>
      <c r="AJ60" s="44"/>
      <c r="AK60" s="81" t="e">
        <f>'ECAT Statistics Mar24'!AJ60-A_BackendPGCompil_March2025!AJ60</f>
        <v>#REF!</v>
      </c>
    </row>
    <row r="61" spans="3:39" ht="16.5" thickTop="1" thickBot="1">
      <c r="C61" s="11"/>
      <c r="D61" s="12" t="s">
        <v>62</v>
      </c>
      <c r="E61" s="12"/>
      <c r="F61" s="71" t="e">
        <f t="shared" ref="F61:AJ61" si="2">SUM(F35:F60)</f>
        <v>#REF!</v>
      </c>
      <c r="G61" s="71" t="e">
        <f t="shared" si="2"/>
        <v>#REF!</v>
      </c>
      <c r="H61" s="71" t="e">
        <f t="shared" si="2"/>
        <v>#REF!</v>
      </c>
      <c r="I61" s="71" t="e">
        <f t="shared" si="2"/>
        <v>#REF!</v>
      </c>
      <c r="J61" s="71" t="e">
        <f t="shared" si="2"/>
        <v>#REF!</v>
      </c>
      <c r="K61" s="71" t="e">
        <f t="shared" si="2"/>
        <v>#REF!</v>
      </c>
      <c r="L61" s="71" t="e">
        <f t="shared" si="2"/>
        <v>#REF!</v>
      </c>
      <c r="M61" s="71" t="e">
        <f t="shared" si="2"/>
        <v>#REF!</v>
      </c>
      <c r="N61" s="71" t="e">
        <f t="shared" si="2"/>
        <v>#REF!</v>
      </c>
      <c r="O61" s="71">
        <f t="shared" si="2"/>
        <v>3287</v>
      </c>
      <c r="P61" s="71" t="e">
        <f t="shared" si="2"/>
        <v>#REF!</v>
      </c>
      <c r="Q61" s="71" t="e">
        <f t="shared" si="2"/>
        <v>#REF!</v>
      </c>
      <c r="R61" s="71" t="e">
        <f t="shared" si="2"/>
        <v>#REF!</v>
      </c>
      <c r="S61" s="71" t="e">
        <f t="shared" si="2"/>
        <v>#REF!</v>
      </c>
      <c r="T61" s="71" t="e">
        <f t="shared" si="2"/>
        <v>#REF!</v>
      </c>
      <c r="U61" s="71" t="e">
        <f t="shared" si="2"/>
        <v>#REF!</v>
      </c>
      <c r="V61" s="71" t="e">
        <f t="shared" si="2"/>
        <v>#REF!</v>
      </c>
      <c r="W61" s="71" t="e">
        <f t="shared" si="2"/>
        <v>#REF!</v>
      </c>
      <c r="X61" s="71" t="e">
        <f t="shared" si="2"/>
        <v>#REF!</v>
      </c>
      <c r="Y61" s="71" t="e">
        <f t="shared" si="2"/>
        <v>#REF!</v>
      </c>
      <c r="Z61" s="71" t="e">
        <f t="shared" si="2"/>
        <v>#REF!</v>
      </c>
      <c r="AA61" s="71" t="e">
        <f t="shared" si="2"/>
        <v>#REF!</v>
      </c>
      <c r="AB61" s="71" t="e">
        <f t="shared" si="2"/>
        <v>#REF!</v>
      </c>
      <c r="AC61" s="71" t="e">
        <f t="shared" si="2"/>
        <v>#REF!</v>
      </c>
      <c r="AD61" s="71" t="e">
        <f t="shared" si="2"/>
        <v>#REF!</v>
      </c>
      <c r="AE61" s="71" t="e">
        <f t="shared" si="2"/>
        <v>#REF!</v>
      </c>
      <c r="AF61" s="71" t="e">
        <f t="shared" si="2"/>
        <v>#REF!</v>
      </c>
      <c r="AG61" s="71" t="e">
        <f t="shared" si="2"/>
        <v>#REF!</v>
      </c>
      <c r="AH61" s="71" t="e">
        <f t="shared" si="2"/>
        <v>#REF!</v>
      </c>
      <c r="AI61" s="71" t="e">
        <f t="shared" si="2"/>
        <v>#REF!</v>
      </c>
      <c r="AJ61" s="71">
        <f t="shared" si="2"/>
        <v>0</v>
      </c>
      <c r="AK61" s="44" t="e">
        <f>'ECAT Statistics Mar24'!AJ61-A_BackendPGCompil_March2025!AJ61</f>
        <v>#REF!</v>
      </c>
      <c r="AM61" s="94"/>
    </row>
    <row r="62" spans="3:39" ht="15.75" thickTop="1">
      <c r="F62" t="s">
        <v>185</v>
      </c>
      <c r="K62" s="89"/>
      <c r="L62" s="89"/>
      <c r="M62" s="89"/>
      <c r="N62" s="89"/>
      <c r="O62" s="89"/>
      <c r="P62" s="89"/>
      <c r="Q62" s="89"/>
      <c r="AM62" s="91"/>
    </row>
    <row r="63" spans="3:39"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</row>
    <row r="66" spans="39:48">
      <c r="AM66" s="93"/>
      <c r="AN66" s="93"/>
      <c r="AO66" s="93"/>
      <c r="AP66" s="93"/>
      <c r="AQ66" s="93"/>
      <c r="AR66" s="93"/>
      <c r="AS66" s="93"/>
      <c r="AT66" s="93"/>
      <c r="AU66" s="93"/>
      <c r="AV66" s="93"/>
    </row>
  </sheetData>
  <mergeCells count="12">
    <mergeCell ref="C4:C8"/>
    <mergeCell ref="C35:C39"/>
    <mergeCell ref="C20:C21"/>
    <mergeCell ref="C26:C28"/>
    <mergeCell ref="C22:C23"/>
    <mergeCell ref="C53:C54"/>
    <mergeCell ref="C57:C58"/>
    <mergeCell ref="C9:C15"/>
    <mergeCell ref="C16:C17"/>
    <mergeCell ref="C40:C46"/>
    <mergeCell ref="C47:C48"/>
    <mergeCell ref="C51:C52"/>
  </mergeCells>
  <conditionalFormatting sqref="F35:AJ60 K62:Q62">
    <cfRule type="cellIs" dxfId="11" priority="15" operator="between">
      <formula>-100000000</formula>
      <formula>-1</formula>
    </cfRule>
  </conditionalFormatting>
  <conditionalFormatting sqref="F4:AK30 K31:Q31 AK35:AK61 F61:AJ61">
    <cfRule type="cellIs" dxfId="10" priority="18" operator="between">
      <formula>-60000</formula>
      <formula>-1</formula>
    </cfRule>
  </conditionalFormatting>
  <conditionalFormatting sqref="F4:AK30 K31:Q31">
    <cfRule type="cellIs" dxfId="9" priority="16" operator="equal">
      <formula>0</formula>
    </cfRule>
    <cfRule type="cellIs" dxfId="8" priority="17" operator="between">
      <formula>0</formula>
      <formula>100000</formula>
    </cfRule>
  </conditionalFormatting>
  <conditionalFormatting sqref="F35:AK61 K62:Q62">
    <cfRule type="cellIs" dxfId="7" priority="13" operator="equal">
      <formula>0</formula>
    </cfRule>
    <cfRule type="cellIs" dxfId="6" priority="14" operator="between">
      <formula>0</formula>
      <formula>100000</formula>
    </cfRule>
  </conditionalFormatting>
  <conditionalFormatting sqref="AM33">
    <cfRule type="cellIs" dxfId="5" priority="4" operator="equal">
      <formula>0</formula>
    </cfRule>
    <cfRule type="cellIs" dxfId="4" priority="5" operator="between">
      <formula>0</formula>
      <formula>100000</formula>
    </cfRule>
    <cfRule type="cellIs" dxfId="3" priority="6" operator="between">
      <formula>-60000</formula>
      <formula>-1</formula>
    </cfRule>
  </conditionalFormatting>
  <conditionalFormatting sqref="AM61">
    <cfRule type="cellIs" dxfId="2" priority="7" operator="equal">
      <formula>0</formula>
    </cfRule>
    <cfRule type="cellIs" dxfId="1" priority="8" operator="between">
      <formula>0</formula>
      <formula>100000</formula>
    </cfRule>
    <cfRule type="cellIs" dxfId="0" priority="9" operator="between">
      <formula>-60000</formula>
      <formula>-1</formula>
    </cfRule>
  </conditionalFormatting>
  <hyperlinks>
    <hyperlink ref="E57" r:id="rId1" display="2011/333/EU " xr:uid="{139652FB-5E20-41FF-B3D8-090A6219E938}"/>
    <hyperlink ref="E58" r:id="rId2" display="2009/568/EC" xr:uid="{271B7116-791C-4BC4-905E-A6FDEDCAA6DF}"/>
    <hyperlink ref="E60" r:id="rId3" display="2017/175/EC" xr:uid="{57ED0703-57A1-438B-BDD4-852F154B6E93}"/>
    <hyperlink ref="E29" r:id="rId4" display="2017/175/EC" xr:uid="{829F6F84-C7DE-450E-9281-B112AAC6CAC7}"/>
    <hyperlink ref="E26" r:id="rId5" display="2011/333/EU " xr:uid="{D503AC24-6CE8-4EEB-A5CC-3C8CE571C817}"/>
    <hyperlink ref="E27" r:id="rId6" display="2009/568/EC" xr:uid="{B51C6268-5C4B-4478-A8C0-8AEFC0756467}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Follow up countries</vt:lpstr>
      <vt:lpstr>LICENCIAS Y PRODUCTOS 2025-03</vt:lpstr>
      <vt:lpstr>Listado de productos_2025</vt:lpstr>
      <vt:lpstr>A_BackendPGCompil_March2025</vt:lpstr>
      <vt:lpstr>A_BackendPGCompil_September2024</vt:lpstr>
      <vt:lpstr>Outside of EU</vt:lpstr>
      <vt:lpstr>Graphs per CBs</vt:lpstr>
      <vt:lpstr>ECAT Statistics Mar24</vt:lpstr>
      <vt:lpstr>A_ECAT Comparison</vt:lpstr>
      <vt:lpstr>LicencesSep24</vt:lpstr>
      <vt:lpstr>ProductsMar24</vt:lpstr>
    </vt:vector>
  </TitlesOfParts>
  <Company>Deloitte.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Roche Naude, Alice (FR - Paris)</dc:creator>
  <cp:lastModifiedBy>MARIA SAGRARIO RUIZ DIAZ</cp:lastModifiedBy>
  <cp:lastPrinted>2020-09-25T10:47:00Z</cp:lastPrinted>
  <dcterms:created xsi:type="dcterms:W3CDTF">2018-02-26T18:22:29Z</dcterms:created>
  <dcterms:modified xsi:type="dcterms:W3CDTF">2025-04-24T07:27:45Z</dcterms:modified>
</cp:coreProperties>
</file>